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1115" windowHeight="6405" tabRatio="828" firstSheet="1" activeTab="4"/>
  </bookViews>
  <sheets>
    <sheet name="GROUPINGS FINAL" sheetId="1" r:id="rId1"/>
    <sheet name="P&amp;L GROUP" sheetId="2" r:id="rId2"/>
    <sheet name="Sheet1" sheetId="3" state="hidden" r:id="rId3"/>
    <sheet name="BS GROUP" sheetId="4" r:id="rId4"/>
    <sheet name="FINAL BS" sheetId="5" r:id="rId5"/>
    <sheet name="FINAL P&amp;L" sheetId="6" r:id="rId6"/>
    <sheet name="SCH 1" sheetId="7" r:id="rId7"/>
    <sheet name="Sheet22" sheetId="8" state="hidden" r:id="rId8"/>
    <sheet name="SCH 2" sheetId="9" r:id="rId9"/>
    <sheet name="SCH 3" sheetId="10" r:id="rId10"/>
    <sheet name="SCH 4" sheetId="11" r:id="rId11"/>
    <sheet name="SCH 5" sheetId="12" r:id="rId12"/>
    <sheet name="SCH 6" sheetId="13" r:id="rId13"/>
    <sheet name="SCH 7" sheetId="14" r:id="rId14"/>
    <sheet name="SCH 8" sheetId="15" r:id="rId15"/>
    <sheet name="SC 9" sheetId="16" r:id="rId16"/>
    <sheet name="SC 10" sheetId="17" r:id="rId17"/>
    <sheet name="SC 11" sheetId="18" r:id="rId18"/>
    <sheet name="SC 12" sheetId="19" r:id="rId19"/>
    <sheet name="SCH 13" sheetId="20" r:id="rId20"/>
    <sheet name="SCH 14" sheetId="21" r:id="rId21"/>
    <sheet name="SCH 15" sheetId="22" r:id="rId22"/>
    <sheet name="SCH 16" sheetId="23" r:id="rId23"/>
    <sheet name="SCH 17" sheetId="24" r:id="rId24"/>
    <sheet name="SCH 18" sheetId="25" r:id="rId25"/>
  </sheets>
  <definedNames>
    <definedName name="_xlnm.Print_Area" localSheetId="3">'BS GROUP'!$A$101:$F$195</definedName>
    <definedName name="_xlnm.Print_Area" localSheetId="1">'P&amp;L GROUP'!$A$227:$F$230</definedName>
    <definedName name="_xlnm.Print_Area" localSheetId="18">'SC 12'!$A$1:$C$11</definedName>
    <definedName name="_xlnm.Print_Titles" localSheetId="3">'BS GROUP'!$1:$1</definedName>
    <definedName name="_xlnm.Print_Titles" localSheetId="1">'P&amp;L GROUP'!$1:$1</definedName>
    <definedName name="_xlnm.Print_Titles" localSheetId="14">'SCH 8'!$3:$4</definedName>
  </definedNames>
  <calcPr fullCalcOnLoad="1"/>
</workbook>
</file>

<file path=xl/sharedStrings.xml><?xml version="1.0" encoding="utf-8"?>
<sst xmlns="http://schemas.openxmlformats.org/spreadsheetml/2006/main" count="2488" uniqueCount="1002">
  <si>
    <t xml:space="preserve">7) Additions during the year includes capitalisation for the Project - Upgradation and Modernisation of TMH which started from 1998-99 and completed by 2003-04 amounting to Rs. 350,167,319/- on which depreciation amounting to Rs.82,776,931/-  is calculated from retrospective effect for individual assets as ana when put to use . </t>
  </si>
  <si>
    <t>9) Refer Notes to the Accounts for rate of depreciation.</t>
  </si>
  <si>
    <t>TATA MEMORIAL CENTRE</t>
  </si>
  <si>
    <t>CODE</t>
  </si>
  <si>
    <t>HEAD OF ACCOUNT</t>
  </si>
  <si>
    <t>DEBIT</t>
  </si>
  <si>
    <t>CREDIT</t>
  </si>
  <si>
    <t>Institution</t>
  </si>
  <si>
    <t>Schedule No.</t>
  </si>
  <si>
    <t>Bal.Sh
P &amp; L</t>
  </si>
  <si>
    <t>PARTICULARS</t>
  </si>
  <si>
    <t>PAY &amp; ALL.: PAY</t>
  </si>
  <si>
    <t>Sch-15</t>
  </si>
  <si>
    <t>P &amp; L</t>
  </si>
  <si>
    <t>S &amp; W</t>
  </si>
  <si>
    <t>PAY &amp; ALL.: PAY (LABOUR)</t>
  </si>
  <si>
    <t>PAY &amp; ALL.: NON PRACTISING ALLOWANC</t>
  </si>
  <si>
    <t>PAY &amp; ALL.: DA (LABOUR STAFF)</t>
  </si>
  <si>
    <t>PAY &amp; ALL.: C.C.A.</t>
  </si>
  <si>
    <t>O.T.A. : OTHER THAN LABOUR</t>
  </si>
  <si>
    <t>SALARIES-OTHERS : L.T.C.</t>
  </si>
  <si>
    <t>SALARIES-OTHERS : LTC ADVANCE</t>
  </si>
  <si>
    <t>Sch-7</t>
  </si>
  <si>
    <t>Balsh</t>
  </si>
  <si>
    <t>CURR. ASSETS</t>
  </si>
  <si>
    <t>ADH.BONUS/IR : ADHOC BONUS</t>
  </si>
  <si>
    <t>GRATUITY/ENCASH. : LEAVE ENCASHMENT</t>
  </si>
  <si>
    <t>SALARIES-OTHERS : REIMBURSEMENT OF</t>
  </si>
  <si>
    <t>EQUIPMENT : COMPUTER FACILITY</t>
  </si>
  <si>
    <t>Sch-6</t>
  </si>
  <si>
    <t>FIXED ASSETS</t>
  </si>
  <si>
    <t>RURAL CANCER PROGRAMME : EXPENDITUR</t>
  </si>
  <si>
    <t>Sch-16</t>
  </si>
  <si>
    <t>OTHER ADMN EXP</t>
  </si>
  <si>
    <t>OPER. EXP.: LINEN</t>
  </si>
  <si>
    <t>OPER. EXP.: LAUNDRY</t>
  </si>
  <si>
    <t>OPER. EXP.: OTHER CONSUMABLE GOODS</t>
  </si>
  <si>
    <t>Sch-14</t>
  </si>
  <si>
    <t>CONS.DRGS &amp; STS</t>
  </si>
  <si>
    <t>ELECTRICITY</t>
  </si>
  <si>
    <t>OPER. EXP.: GAS</t>
  </si>
  <si>
    <t>OPER. EXP.: CUSTOMS DUTY DEPOSIT</t>
  </si>
  <si>
    <t>CA ADV FOR PUR</t>
  </si>
  <si>
    <t>OPER. EXP.: ADVANCES</t>
  </si>
  <si>
    <t>CURR. LIABILITIES</t>
  </si>
  <si>
    <t>SCI.INFORMATION RESOURCE CENTRE : B</t>
  </si>
  <si>
    <t>SCI.INFORMATION RESOURCE CENTRE : J</t>
  </si>
  <si>
    <t>SCI.INFORMATION RESOURCE CENTRE : M</t>
  </si>
  <si>
    <t>CONFERENCE/SEMINAR/VISITING MEMBERS</t>
  </si>
  <si>
    <t>FELLOWSHIPS : EXPENDITURE</t>
  </si>
  <si>
    <t>T.A. : EXPENDITURE</t>
  </si>
  <si>
    <t>T.A. : ADVANCES</t>
  </si>
  <si>
    <t>CA LOANS/ADVS</t>
  </si>
  <si>
    <t>MAINT.OF BLDG. : LAND/BUILDING</t>
  </si>
  <si>
    <t>MAINT.OF MOTOR VEHICLES : EXPENDITU</t>
  </si>
  <si>
    <t>PRINTING &amp; STATIONERY</t>
  </si>
  <si>
    <t>POSTAGE &amp; TELEGRAMS</t>
  </si>
  <si>
    <t>TELEPHONE CHARGES</t>
  </si>
  <si>
    <t>MED.REIM./CHSS : REIMBURSEMENT OF S</t>
  </si>
  <si>
    <t>PAY &amp; ALL.: CANTEEN SUBSIDY</t>
  </si>
  <si>
    <t>AUDIT FEES</t>
  </si>
  <si>
    <t>DEDUCTIONS/REMITTANCES : NCPF - TMH</t>
  </si>
  <si>
    <t>Sch-8</t>
  </si>
  <si>
    <t>GRATUITY/ENCASH. : PENSION COMMUTAT</t>
  </si>
  <si>
    <t>PENSION : PENSION PAYMENTS-TMH</t>
  </si>
  <si>
    <t>PURCHASE OF MINOR EQUIPMENT : EXPEN</t>
  </si>
  <si>
    <t>REPLACEMENT/ADDL. : MOTOR VEHICLES</t>
  </si>
  <si>
    <t>PENSION : RELIEF ON PENSION-TMH</t>
  </si>
  <si>
    <t>PAY &amp; ALL.: D.A. (ADMN. STAFF)</t>
  </si>
  <si>
    <t>PAY &amp; ALL.: HOUSE RENT ALLOWANCE</t>
  </si>
  <si>
    <t>PAY &amp; ALL.: SHARE OF HOSPITAL INCOM</t>
  </si>
  <si>
    <t>SALARIES-OTHERS : L.T.A.</t>
  </si>
  <si>
    <t>PAY &amp; ALL.: UDA/WA/PA</t>
  </si>
  <si>
    <t>PAY &amp; ALL.: MEDICAL ALLOWANCE</t>
  </si>
  <si>
    <t>PAY &amp; ALL.: OTHER ALLOWANCE</t>
  </si>
  <si>
    <t>GRATUITY/ENCASH. : GRATUITY EXPENDI</t>
  </si>
  <si>
    <t>PAY &amp; ALL.: ADHOC ALLOWANCE - TMH</t>
  </si>
  <si>
    <t>PAY &amp; ALL.: NURSING ALLOWANCE(TMH)</t>
  </si>
  <si>
    <t>DONATIONS : TMH</t>
  </si>
  <si>
    <t>Sch-2</t>
  </si>
  <si>
    <t>DONATION GT</t>
  </si>
  <si>
    <t>DEPOSITS : CAUTION MONEY</t>
  </si>
  <si>
    <t>CL DEPOSITS</t>
  </si>
  <si>
    <t>OPER. EXP.: M. &amp; S. GOODS</t>
  </si>
  <si>
    <t>OPER. EXP.: OXYGEN</t>
  </si>
  <si>
    <t>OPER. EXP.: DIET</t>
  </si>
  <si>
    <t>OPER. EXP.: X-RAY DEPARTMENT EXP.</t>
  </si>
  <si>
    <t>EQUIPMENT : TISCO DONATION</t>
  </si>
  <si>
    <t>MAINT.OF BIO-MED. EQUIPT.: A.M.C.</t>
  </si>
  <si>
    <t>MAINT.OF BLDG. : A.C. UNITS</t>
  </si>
  <si>
    <t>MAINT.OF BLDG. : LIFTS</t>
  </si>
  <si>
    <t>MAINT.OF BLDG. : ELECTRICAL INST.</t>
  </si>
  <si>
    <t>MAINT.OF BLDG. : MISCELLANOUS</t>
  </si>
  <si>
    <t>MAINT.OF BLDG. : ADVANCES</t>
  </si>
  <si>
    <t>OTHER CHARGES : UNIFORMS/APPRONS/LI</t>
  </si>
  <si>
    <t>OTHER CHARGES : LOCAL CONVEYANCE</t>
  </si>
  <si>
    <t>OTHER CHARGES : TRANSPORT &amp; HIRE</t>
  </si>
  <si>
    <t>OTHER CHARGES : RATES &amp; TAXES</t>
  </si>
  <si>
    <t>OTHER CHARGES : LEGAL EXPENSES</t>
  </si>
  <si>
    <t>OTHER CHARGES : ADVERTISEMENT</t>
  </si>
  <si>
    <t>OTHER CHARGES : MISC.EXPENDITURE</t>
  </si>
  <si>
    <t>OTHER CHARGES : TA TO CANDIDATES FO</t>
  </si>
  <si>
    <t>WORKSHOP ON WHO-SEARO-DR. BHARUCHA</t>
  </si>
  <si>
    <t>UNS BAL.WK.SP</t>
  </si>
  <si>
    <t>CPF : EMPLOYER'S CONTRIBUTION TO L.</t>
  </si>
  <si>
    <t>HOSP.INCOME : STOMA CLINIC FEES</t>
  </si>
  <si>
    <t>Sch-10</t>
  </si>
  <si>
    <t>HOSP. INCOME</t>
  </si>
  <si>
    <t>MAINT.OF BIO-MED. EQUIPT.: SPARES</t>
  </si>
  <si>
    <t>MAINT.OF BIO-MED. EQUIPT.: REPAIRS</t>
  </si>
  <si>
    <t>ADVANCES : NCPF TMH</t>
  </si>
  <si>
    <t>DEDUCTIONS/REMITTANCES : DR.BORGES</t>
  </si>
  <si>
    <t>PAY &amp; ALL.: NIGHT DUTY ALLOWANCE-TM</t>
  </si>
  <si>
    <t>REMODELLING OF CRI BUILDING : EXPEN</t>
  </si>
  <si>
    <t>ADH.BONUS/IR : INTERIM RELIEF - TMH</t>
  </si>
  <si>
    <t>INFRASTRUCTURE DEVELOPMENT - ADVANC</t>
  </si>
  <si>
    <t>ADVANCES : NEW REVENUE STAMP RECOVE</t>
  </si>
  <si>
    <t>REC. GRANT : GOVT. OF INDIA</t>
  </si>
  <si>
    <t>Sch-9</t>
  </si>
  <si>
    <t>REC. GRANT</t>
  </si>
  <si>
    <t xml:space="preserve">CAPITAL FUND AND LIABILITIES                    </t>
  </si>
  <si>
    <t xml:space="preserve">CAPITAL FUND           </t>
  </si>
  <si>
    <t>(in Rupees)</t>
  </si>
  <si>
    <t xml:space="preserve">        Freehold</t>
  </si>
  <si>
    <t xml:space="preserve">2) CWIP includes Rs. 802,369/-   paid to Government of Maharashtra in 1984 for constructing residential accomodation for the employees which is under dispute. TMC is unable to obtain possession and the rights to the land to commence construction. </t>
  </si>
  <si>
    <t>Government of India, 8% Savings (Taxable) Bonds, 2003(At Cost)</t>
  </si>
  <si>
    <t xml:space="preserve">        On Freehold Land (See Note 4 below)</t>
  </si>
  <si>
    <t>4) Refer Note B(4) of Schedule 19</t>
  </si>
  <si>
    <t>3) Refer Note B(3) of Schedule 19</t>
  </si>
  <si>
    <t>5) Refer Note B(5) of Schedule 19</t>
  </si>
  <si>
    <r>
      <t xml:space="preserve">B.    </t>
    </r>
    <r>
      <rPr>
        <b/>
        <sz val="12"/>
        <rFont val="Times New Roman"/>
        <family val="1"/>
      </rPr>
      <t xml:space="preserve">CAPITAL  WORK-IN-PROGRESS </t>
    </r>
  </si>
  <si>
    <t xml:space="preserve">        (See Note 5 below)</t>
  </si>
  <si>
    <t>PREVIOUS YEAR (See Note 3 below)</t>
  </si>
  <si>
    <t>1.   Inventories  : (At lower of cost and realisable value)</t>
  </si>
  <si>
    <t xml:space="preserve">      Stock of Drugs and Surgical Goods</t>
  </si>
  <si>
    <t>2.   Sundry  Debtors : (Unsecured)</t>
  </si>
  <si>
    <t>5.     Bank  Balances :</t>
  </si>
  <si>
    <t>(contd….)</t>
  </si>
  <si>
    <t>Unspent Balances of Projects/ Research ( Refer note below )</t>
  </si>
  <si>
    <t xml:space="preserve"> Note:</t>
  </si>
  <si>
    <t>Includes balance in TMC Research Scheme amounting to Rs. 1,51,22,606 and TMC Corpus Fund amounting to Rs 32,88,256 which accounts are maintained seperately and are remaining to be transferred to that account as at March 31, 2005.</t>
  </si>
  <si>
    <t>Intra Mural Research Expenses (Refer Note below)</t>
  </si>
  <si>
    <t>Note:</t>
  </si>
  <si>
    <t>The Centre has transferred Rs. 20.91 lakhs from recurring grant to the account of Intra Mural Research towards funding of various projects which is lying unspent, based on approval of the Diector, Tata Memorial Centre</t>
  </si>
  <si>
    <t>SCHEDULE 1- CAPITAL FUND</t>
  </si>
  <si>
    <t xml:space="preserve">Add : Transfer to Capital Fund Amount </t>
  </si>
  <si>
    <t>2) Previous year's deduction from Non Recurring Grants/ Donations pertain to fixed assets purchased prior to the year 1991 that have been written off through this fund account.</t>
  </si>
  <si>
    <t>HOSP.INCOME : SURGERY - CONSULTATIO</t>
  </si>
  <si>
    <t>HOSP.INCOME : SURGERY - OPERATIONS</t>
  </si>
  <si>
    <t>HOSP.INCOME : SURGERY - OUTSIDE PRA</t>
  </si>
  <si>
    <t>HOSP.INCOME : RADIOTHERAPY</t>
  </si>
  <si>
    <t>HOSP.INCOME : PATHOLOGY - PATH.FEES</t>
  </si>
  <si>
    <t>HOSP.INCOME : MED.ONCOLOGY- CONSL./</t>
  </si>
  <si>
    <t>HOSP.INCOME : HOSPITALISATION</t>
  </si>
  <si>
    <t>HOSP.INCOME : BIOCHEMISTRY FEES</t>
  </si>
  <si>
    <t>HOSP.INCOME : REGISTRATION FEES</t>
  </si>
  <si>
    <t>HOSP.INCOME : OTHER MISC. FEES</t>
  </si>
  <si>
    <t>PROJECT FOR PREVENTION &amp; EARLY DETE</t>
  </si>
  <si>
    <t>FA CWIP</t>
  </si>
  <si>
    <t>CANCER REGISTRY PROGRAMME : EXPENDI</t>
  </si>
  <si>
    <t>HOSP.INCOME : CARDIALOGY SERVICES</t>
  </si>
  <si>
    <t>HOSP.INCOME : RADIOLOGY - PROF.INCO</t>
  </si>
  <si>
    <t>HOSPITAL INCOME</t>
  </si>
  <si>
    <t>TELE-MEDICINE &amp; COMPUTERISN IN TMH</t>
  </si>
  <si>
    <t>PICTURE ARCHIVAL COMMUNICATION SYST</t>
  </si>
  <si>
    <t>MISC. RECEIPTS</t>
  </si>
  <si>
    <t>Sch-12</t>
  </si>
  <si>
    <t>OTHER INCOME</t>
  </si>
  <si>
    <t>INTEREST : VEHICLE ADVANCE</t>
  </si>
  <si>
    <t>INT. EARNED</t>
  </si>
  <si>
    <t>PATHOLOGY DEPT. &amp; LABORATORIES - AD</t>
  </si>
  <si>
    <t>INTEREST : H.B.A.</t>
  </si>
  <si>
    <t>INTEREST : DEPOSIT</t>
  </si>
  <si>
    <t>Sch-11</t>
  </si>
  <si>
    <t>INC FROM INVEST.</t>
  </si>
  <si>
    <t>HOSP.INCOME : ANAESTHESIA - PROF.IN</t>
  </si>
  <si>
    <t>Provision For Doubtful Receivables no Longer Required</t>
  </si>
  <si>
    <t xml:space="preserve">                Less: Provisions For Doubtful Advances</t>
  </si>
  <si>
    <t>HOSP.INCOME : PHYSIOTHERY</t>
  </si>
  <si>
    <t>HOSP.INCOME : OCCUPATIONAL THERAPY</t>
  </si>
  <si>
    <t>DIAGNOSTIC/THERAPY FACILITIES IN TM</t>
  </si>
  <si>
    <t>HOSP.INCOME : TISSUE BANK</t>
  </si>
  <si>
    <t>HON.&amp; SCHOLARSHIP : SCHOLARSHIPS-TM</t>
  </si>
  <si>
    <t>DEDUCTIONS/REMITTANCES : OTHERS - T</t>
  </si>
  <si>
    <t>DEDUCTIONS/REMITTANCES : CONS. SOCI</t>
  </si>
  <si>
    <t>DEDUCTIONS/REMITTANCES : INSURANCE</t>
  </si>
  <si>
    <t>WATER CHARGES</t>
  </si>
  <si>
    <t>HOSP.INCOME : MED.ONCOLOGY - PROF.I</t>
  </si>
  <si>
    <t>DEDUCTIONS/REMITTANCES : CO-OP.SOCI</t>
  </si>
  <si>
    <t>ADVANCES : FESTIVAL TMH</t>
  </si>
  <si>
    <t>DEDUCTIONS/REMITTANCES : PF SUBSCRI</t>
  </si>
  <si>
    <t>DEDUCTIONS/REMITTANCES : V.P.F. - T</t>
  </si>
  <si>
    <t>DEDUCTIONS/REMITTANCES : M.S.P.T. -</t>
  </si>
  <si>
    <t>UNDISBURSED SALARY : LABOUR - TMH</t>
  </si>
  <si>
    <t>UNCLAIMED SALARY : ADMN - TMH</t>
  </si>
  <si>
    <t>UNCLAIMED SALARY : LABOUR - TMH</t>
  </si>
  <si>
    <t>EQUIPMENT : GARWARE DONATION</t>
  </si>
  <si>
    <t>DEPOSITS : HOSPITAL</t>
  </si>
  <si>
    <t>DEPOSITS : TENDER</t>
  </si>
  <si>
    <t>DEPOSITS : SECURITY</t>
  </si>
  <si>
    <t>DEPOSITS : MISCELLANEOUS</t>
  </si>
  <si>
    <t>DEPOSITS : DIET</t>
  </si>
  <si>
    <t>BUILDING : MAIN &amp; EXTENTION</t>
  </si>
  <si>
    <t>BUILDING : COBALT BLOCKS TMH</t>
  </si>
  <si>
    <t>BUILDING : ELEC. INSTALLATIONS</t>
  </si>
  <si>
    <t>BUILDING : GAS INSTALLATION</t>
  </si>
  <si>
    <t>BUILDING : FIXTURE &amp; FITTINGS</t>
  </si>
  <si>
    <t>EQUIPMENT : ANAESTHESIA DEPT.-TMH</t>
  </si>
  <si>
    <t>EQUIPMENT : FURNITURE</t>
  </si>
  <si>
    <t>EQUIPMENT : KITCHEN</t>
  </si>
  <si>
    <t>EQUIPMENT : LABORATORY</t>
  </si>
  <si>
    <t>EQUIPMENT : MED. &amp; SURGICAL</t>
  </si>
  <si>
    <t>EQUIPMENT : PLANT &amp; MACHINERY</t>
  </si>
  <si>
    <t>EQUIPMENT : RADIUM DEPT.-TMH</t>
  </si>
  <si>
    <t>EQUIPMENT : SOLUTION DEPT.-TMH</t>
  </si>
  <si>
    <t>EQUIPMENT : X-RAY E.T. APPLIANCES</t>
  </si>
  <si>
    <t>MOTOR-BUSES &amp; VEHICLES</t>
  </si>
  <si>
    <t>EQUIPMENT : PWF</t>
  </si>
  <si>
    <t>EQUIPMENT : BLOOD BANK-GOVT. GRANT</t>
  </si>
  <si>
    <t>ADVANCES : LAND FOR STAFF QRTS.-TMH</t>
  </si>
  <si>
    <t>BUILDING : CRI</t>
  </si>
  <si>
    <t>Income On Sale Of Assets</t>
  </si>
  <si>
    <t>TMH</t>
  </si>
  <si>
    <t>EQUIPMENT : DONATIONS - MISC.RESEAR</t>
  </si>
  <si>
    <t>LAND - TMH</t>
  </si>
  <si>
    <t>DEDUCTIONS/REMITTANCES : BUS PASS R</t>
  </si>
  <si>
    <t>FIXED DEPOSIT : DONATION &amp; FUNDS</t>
  </si>
  <si>
    <t>MAINT.OF BIO-MED. EQUIPT.: EXPENDIT</t>
  </si>
  <si>
    <t>Sch7</t>
  </si>
  <si>
    <t>DEPOSITS : PERMANENT CO.REFERRED PA</t>
  </si>
  <si>
    <t>CENTRAL BANK OF INDIA A/C.2(10923)</t>
  </si>
  <si>
    <t>CENTRAL BANK OF INDIA A/C. 3</t>
  </si>
  <si>
    <t>DONATIONS : A.C.T. CLINIC</t>
  </si>
  <si>
    <t>Sch2</t>
  </si>
  <si>
    <t>SBI CURRENT A/C</t>
  </si>
  <si>
    <t>ADVANCES : KITCHEN</t>
  </si>
  <si>
    <t>ADVANCES : SOCIAL WORKER</t>
  </si>
  <si>
    <t>ADVANCES : CONVEYANCES</t>
  </si>
  <si>
    <t>ADVANCES : POSTAGE</t>
  </si>
  <si>
    <t>ADVANCES : RECURRING EXPENDITURE -</t>
  </si>
  <si>
    <t>ADVANCES : MOTOR VEHICLE (OLD)</t>
  </si>
  <si>
    <t>HOSP.INCOME : PATHOLOGY - CONSULTAT</t>
  </si>
  <si>
    <t>HOSP.INCOME : PATHOLOGY - PROF. INC</t>
  </si>
  <si>
    <t>HOSP.INCOME : BLOOD BANK CHARGES</t>
  </si>
  <si>
    <t>MED.REIM./CHSS : CHSS RECOVERY TMH</t>
  </si>
  <si>
    <t>DONATIONS : BONE MARROW TRANSPLANT</t>
  </si>
  <si>
    <t>DONATIONS : OTHERS &amp; CAPITAL GRANTS</t>
  </si>
  <si>
    <t>DONATIONS : EQUIPMENT/ P.W.F.</t>
  </si>
  <si>
    <t>DONATIONS : MISC. RESEARCH PURPOSE</t>
  </si>
  <si>
    <t>DONATIONS : SIR DTT GRANT - CELL SE</t>
  </si>
  <si>
    <t>DONATIONS : TISCO - RESEARCH CT SCA</t>
  </si>
  <si>
    <t>DONATIONS : NDICCU</t>
  </si>
  <si>
    <t>BUILDING : SERVICE BLOCKS</t>
  </si>
  <si>
    <t>BUILDING : GOLDEN JUBILEE BLOCK (RE</t>
  </si>
  <si>
    <t>NR GRANT-GOVT.OF INDIA - TMH</t>
  </si>
  <si>
    <t>INCOME TAX RECEIVABLE</t>
  </si>
  <si>
    <t>CA IT RECEIVABLE</t>
  </si>
  <si>
    <t>DONATIONS : UICC</t>
  </si>
  <si>
    <t>DONATIONS : MISC.</t>
  </si>
  <si>
    <t>INCOME &amp; EXPENDITURE A/C.</t>
  </si>
  <si>
    <t>DEDUCTIONS/REMITTANCES : TRUSTEES T</t>
  </si>
  <si>
    <t>UNIVERSITY FEES-TMH</t>
  </si>
  <si>
    <t>ADVANCES : TEMPORARY TMH</t>
  </si>
  <si>
    <t>SUSPENSE A/C.-PATIENTS</t>
  </si>
  <si>
    <t>ADVANCES : HOUSE BLDG.(OLD)</t>
  </si>
  <si>
    <t>ADVANCES : CAPITAL EQUIPT.-OLD</t>
  </si>
  <si>
    <t>DONATIONS : STAFF WELFARE/BENIFIT</t>
  </si>
  <si>
    <t>sch-2</t>
  </si>
  <si>
    <t xml:space="preserve"> a)    Salaries  and  Wages {Refer Note B(6) of Schedule 19}</t>
  </si>
  <si>
    <t xml:space="preserve"> d)    Expenses  on  Employees'  Retirement  and  Terminal  Benefits</t>
  </si>
  <si>
    <t>SUSPENSE A/C.-TMH</t>
  </si>
  <si>
    <t>DEPOSITS PAID - TMH</t>
  </si>
  <si>
    <t>CA DEPOSITS</t>
  </si>
  <si>
    <t>DEPOSITS : TELEPHONE</t>
  </si>
  <si>
    <t>CENTRAL BANK OF INDIA HSS A/C</t>
  </si>
  <si>
    <t>ADVANCES : COMPUTER(OLD)</t>
  </si>
  <si>
    <t>HOSP.INCOME : SPEECH THERAPY</t>
  </si>
  <si>
    <t>DEPOSITS : HOSTEL</t>
  </si>
  <si>
    <t>PAY &amp; ALL.: CONV.ALLOWANCE TO LABOU</t>
  </si>
  <si>
    <t>BREAST PATHOLOGY SEMINAR DR CHINOY</t>
  </si>
  <si>
    <t>3RD INTERNATIONAL SEMINAR IN PSYCHO</t>
  </si>
  <si>
    <t>ACADEMIC FUND</t>
  </si>
  <si>
    <t>Sch-3</t>
  </si>
  <si>
    <t>ATLAS TRIAL MEETING FEB'99</t>
  </si>
  <si>
    <t>PENSION : MEDICAL ALLOWANCE PENSION</t>
  </si>
  <si>
    <t>DEDUCTIONS/REMITTANCES : HOUSING LO</t>
  </si>
  <si>
    <t>Sch-4</t>
  </si>
  <si>
    <t>SEC. L &amp; BORWG</t>
  </si>
  <si>
    <t>DEDUCTIONS/REMITTANCES : INT.ON HOU</t>
  </si>
  <si>
    <t>Sch-17</t>
  </si>
  <si>
    <t>INT ON FIXED LOAN</t>
  </si>
  <si>
    <t>INTRA - MURAL RESEARCH EXPENDITURE</t>
  </si>
  <si>
    <t>DONATIONS : SAVING A/C.</t>
  </si>
  <si>
    <t>ADVANCE FOR ACADEMIC FUND</t>
  </si>
  <si>
    <t>Depreciation</t>
  </si>
  <si>
    <t>1) Earmarked/Endowment Funds comprise of Non-Recurring Grants received from Government of India and Donations received from external agencies/ individuals.</t>
  </si>
  <si>
    <t>DONATIONS : ESTATE OF LATE ALICE SA</t>
  </si>
  <si>
    <t>ARTTICON 2000 - DR. K.A. DINSHAW</t>
  </si>
  <si>
    <t>V NATIONAL ONCOLOGY CONFERENCE-BHAG</t>
  </si>
  <si>
    <t>ISRO-INTERNATIONAL TEACHING COURSES</t>
  </si>
  <si>
    <t>MYELOMA CONFERENCE-TMH-DR.S.H.ADVAN</t>
  </si>
  <si>
    <t>AAIMC-DR.MOHANDAS</t>
  </si>
  <si>
    <t>CONSULTANCY CHARGES</t>
  </si>
  <si>
    <t>IDBI BANK SAVINGS ACCOUNT</t>
  </si>
  <si>
    <t>8TH ASIA PACIFIC BMT CONGRESS-DR.T.</t>
  </si>
  <si>
    <t>TMC BONE MARROW DONOR REGISTRY - EX</t>
  </si>
  <si>
    <t>PATHOLOGY DEPT. &amp; LABORATORIES - EX</t>
  </si>
  <si>
    <t>INFRASTRUCTURE DEVELOPMENT - EXPEND</t>
  </si>
  <si>
    <t>INSTRUMENTATION FOR ADVANCED RESEAR</t>
  </si>
  <si>
    <t>REGIONAL CEREBRAL BLOOD VOLUME [rCB</t>
  </si>
  <si>
    <t>MSBTE-PG DIPLOMA IN RADIOTHERAPY TE</t>
  </si>
  <si>
    <t>UPDATE ON URINARY CYTOLOGY-MRS. D.</t>
  </si>
  <si>
    <t>EBM-2003 DR-SARIN</t>
  </si>
  <si>
    <t>G1 WORKSHOP ON NEOSPHINCTERS &amp; SPHI</t>
  </si>
  <si>
    <t>SEMINARS FOR TRENDS IN BIOMEDICAL L</t>
  </si>
  <si>
    <t>EQUIPMENT : MAHINDRA BOLERO V-CARE</t>
  </si>
  <si>
    <t>DONATIONS : TMC MAHINDRA BOLERO V-C</t>
  </si>
  <si>
    <t>UTI BANK SAVINGS A/C</t>
  </si>
  <si>
    <t>DONATIONS : BENEVOLENT FUND FOR TMC</t>
  </si>
  <si>
    <t>WHO REGIONAL WORKSHOP AT TMH - DR.K</t>
  </si>
  <si>
    <t>UICC INTERNATION ONCO. NURSING FELL</t>
  </si>
  <si>
    <t>IMRT WORKSHOP CUM TEACHING COURSE D</t>
  </si>
  <si>
    <t>IAEA/RCA REGIONAL TRAINING COURSE-D</t>
  </si>
  <si>
    <t>A WORKSHOP ON CYTOLOGY IARC BARSHI</t>
  </si>
  <si>
    <t>EBM - 2004 DR. S. LASKAR</t>
  </si>
  <si>
    <t>CONFERENCES-TISSUE BANK DR.A LOBO G</t>
  </si>
  <si>
    <t>FIXED DEPOSIT-GOVT. OF INDIA A/C</t>
  </si>
  <si>
    <t>HEALTH MELA-MIN. OF HEALTH &amp; FAMILY</t>
  </si>
  <si>
    <t>COLORECTAL CONFERENCE TMH DR. PARUL</t>
  </si>
  <si>
    <t>TMC RESEARCH SCHEME ADJUSTMENT A/C</t>
  </si>
  <si>
    <t>IMRT WORKSHOP TMH 24/25 SEPT DR.SK</t>
  </si>
  <si>
    <t>ADVANCE CORPUS FUND</t>
  </si>
  <si>
    <t>TMH/ESTRO 2005 DR. S.K. SHRIVASTAVA</t>
  </si>
  <si>
    <t>DIAGNOSTIC ISSUES IN CYTOLOGY MS. A</t>
  </si>
  <si>
    <t>SUNDRY DEBTORS</t>
  </si>
  <si>
    <t>Sch-1</t>
  </si>
  <si>
    <t>PURCHASES</t>
  </si>
  <si>
    <t>PROVISION FOR PURCHASE EXPENSE</t>
  </si>
  <si>
    <t>CURR.LIAB. PROV</t>
  </si>
  <si>
    <t>PREPAID EXPENSES</t>
  </si>
  <si>
    <t>CA ADV PPD EXPS</t>
  </si>
  <si>
    <t>INTEREST ON ACCRUED INVESTMENT</t>
  </si>
  <si>
    <t>CA INCOME ACCD</t>
  </si>
  <si>
    <t>PROVISION FOR SALARY EXPENSES</t>
  </si>
  <si>
    <t>PROVISION FOR LEAVE ENCASHMENT</t>
  </si>
  <si>
    <t>PROVISION FOR GRATUITY</t>
  </si>
  <si>
    <t>CLOSING STOCK ASSET</t>
  </si>
  <si>
    <t>CLOSING STOCK INCOME</t>
  </si>
  <si>
    <t>COMPUTER HARDWARE &amp; NETWORKING SYST</t>
  </si>
  <si>
    <t>COMPUTER SOFTWARE A/C</t>
  </si>
  <si>
    <t>BUILDING IMPROVEMENT</t>
  </si>
  <si>
    <t>PROVISION FOR BUILDING DEPRECIATION</t>
  </si>
  <si>
    <t>PROVISION FOR PLANT MACH &amp; EQUIPMEN</t>
  </si>
  <si>
    <t>PROVISION FOR VEHICLES DEPRECIATION</t>
  </si>
  <si>
    <t>PROVISION FOR FURNITURE FIXTURE DEP</t>
  </si>
  <si>
    <t>PROVISION FOR OFFICE EQUIPMENT DEPR</t>
  </si>
  <si>
    <t>PROVISION FOR COMPUTER/PHERIPHERAL</t>
  </si>
  <si>
    <t>HOSPITAL INCOME RECEIVABLE</t>
  </si>
  <si>
    <t>HOSPITAL DRUG SALES RECEIVABLE</t>
  </si>
  <si>
    <t>PROVISION FOR DOUBTFUL DEBTS</t>
  </si>
  <si>
    <t>PROVISION FOR DOUBTFUL ADVANCE</t>
  </si>
  <si>
    <t>CANCER REHABILITATION -MRS. J.S. BA</t>
  </si>
  <si>
    <t>RESEARCH-SCHEME ADVANCE A/C</t>
  </si>
  <si>
    <t>INTERNATIONAL SKELETAL SOCIETY-DR.N</t>
  </si>
  <si>
    <t>PET SCAN-OTHER SERVICES</t>
  </si>
  <si>
    <t>sch-8</t>
  </si>
  <si>
    <t>EQUIPMENT:MARUTI OMNI CENTRAL BANK</t>
  </si>
  <si>
    <t>DONATION: FROM CENTRAL BANK OF INDI</t>
  </si>
  <si>
    <t>OPENING STOCK EXPENSES</t>
  </si>
  <si>
    <t>CASH BALANCE:</t>
  </si>
  <si>
    <t>BANK BALANCE:</t>
  </si>
  <si>
    <t>CORPUS</t>
  </si>
  <si>
    <t>UNSEC. LOANS</t>
  </si>
  <si>
    <t>HEAD OF ACCOUNTS</t>
  </si>
  <si>
    <t>TOTAL</t>
  </si>
  <si>
    <t>PAY</t>
  </si>
  <si>
    <t>PAY LABOUR</t>
  </si>
  <si>
    <t>N.P.A.</t>
  </si>
  <si>
    <t>COM. OF PENSION</t>
  </si>
  <si>
    <t>PENSION PAYMENT</t>
  </si>
  <si>
    <t>D.A. LABOUR</t>
  </si>
  <si>
    <t>D.A. ADMN.</t>
  </si>
  <si>
    <t>H.R.A.</t>
  </si>
  <si>
    <t>C.C.A.</t>
  </si>
  <si>
    <t>O.T.A.</t>
  </si>
  <si>
    <t>L.T.C.</t>
  </si>
  <si>
    <t>L.T.A</t>
  </si>
  <si>
    <t>U.D.A.</t>
  </si>
  <si>
    <t>M.A.</t>
  </si>
  <si>
    <t>ADHOC BONUS</t>
  </si>
  <si>
    <t>LEAVE ENCASHMENT</t>
  </si>
  <si>
    <t>REIMBURSEMENT OF TUITION FEES</t>
  </si>
  <si>
    <t>OTHER ALLOWANCES</t>
  </si>
  <si>
    <t>REIMBURSEMENT OF STAFF MEDICINES</t>
  </si>
  <si>
    <t>RELIEF ON PENSION</t>
  </si>
  <si>
    <t>S.H.I.</t>
  </si>
  <si>
    <t>NIGHT DUTY ALLOWANCE</t>
  </si>
  <si>
    <t>STAFF SCHOLARSHIPS</t>
  </si>
  <si>
    <t>CONVEYANCE ALLOWANCE LABOUR</t>
  </si>
  <si>
    <t>CHSS PAYMENTS</t>
  </si>
  <si>
    <t>ADHOC ALLOWANCE</t>
  </si>
  <si>
    <t>NURSING ALLOWANCE</t>
  </si>
  <si>
    <t xml:space="preserve"> </t>
  </si>
  <si>
    <t>MEDICAL ALLOWANCE (PENSIONERS)</t>
  </si>
  <si>
    <t>CANTEEN SUBSIDY</t>
  </si>
  <si>
    <t>INTERIEM RELIEF</t>
  </si>
  <si>
    <t>GRATUITY</t>
  </si>
  <si>
    <t>FELLOWSHIPS</t>
  </si>
  <si>
    <t>A/C NO</t>
  </si>
  <si>
    <t>A SALARIES &amp; WAGES</t>
  </si>
  <si>
    <t>B ALLOWANCES &amp; BONUS</t>
  </si>
  <si>
    <t>D EXP. ON EMPLOYER'S RETIREMENT/TERMINAL BENEFITS</t>
  </si>
  <si>
    <t>E. OTHER FELLOWSHIPS</t>
  </si>
  <si>
    <t>a)  Purchase of drugs &amp; consumables</t>
  </si>
  <si>
    <t>M &amp; S Goods</t>
  </si>
  <si>
    <t>Oxygen</t>
  </si>
  <si>
    <t>Diet</t>
  </si>
  <si>
    <t>Consumable Stores</t>
  </si>
  <si>
    <t>b)  Labour and processing expenses</t>
  </si>
  <si>
    <t>Uniform &amp; Appron</t>
  </si>
  <si>
    <t>c)   Library Expenses</t>
  </si>
  <si>
    <t>Misc Lib. Expense</t>
  </si>
  <si>
    <t>d)   Electricity and power</t>
  </si>
  <si>
    <t>e)  Water charges</t>
  </si>
  <si>
    <t>f)   Repairs  and maintenance</t>
  </si>
  <si>
    <t>Maint of AC Unit</t>
  </si>
  <si>
    <t>Maint of Bldg. &amp; Lifts</t>
  </si>
  <si>
    <t>Repairs &amp; Maint of Motor Vehicles</t>
  </si>
  <si>
    <t>Repairs &amp; Maint of Electrical Inst.</t>
  </si>
  <si>
    <t>Land &amp; Bldg</t>
  </si>
  <si>
    <t>Maint of Bio Medical Spares</t>
  </si>
  <si>
    <t>Maint of Bio Medical Repairs</t>
  </si>
  <si>
    <t>g)  Animal House Expenses (Schedule VIII)</t>
  </si>
  <si>
    <t>Animal House Food</t>
  </si>
  <si>
    <t>Add: Purchase of Drugs &amp; Surgical Goods</t>
  </si>
  <si>
    <t>Opening stock of Drugs &amp; Surgical Goods</t>
  </si>
  <si>
    <t>SCHEDULE 14 - CONSUMPTION OF DRUGS &amp; SURGICAL GOODS</t>
  </si>
  <si>
    <t>Consumption of Drugs &amp; Surgical Goods</t>
  </si>
  <si>
    <t>Sale of Drugs &amp; Surgical Goods</t>
  </si>
  <si>
    <t>Less: Closing stock of Drugs &amp; Surgical Goods</t>
  </si>
  <si>
    <t>SCHEDULE 7 - INVESTMENTS</t>
  </si>
  <si>
    <t>INVESTMENTS</t>
  </si>
  <si>
    <t>Interest on Vehicles Advances</t>
  </si>
  <si>
    <t>Interest on House Building Advances</t>
  </si>
  <si>
    <t>Workings</t>
  </si>
  <si>
    <t>Interest on Investment</t>
  </si>
  <si>
    <t>Interest on deposit with bank</t>
  </si>
  <si>
    <t>Interest Accrued on Investment</t>
  </si>
  <si>
    <t>Interest Accrued on deposit with bank</t>
  </si>
  <si>
    <t>Workings for Interest</t>
  </si>
  <si>
    <t>Interest on  Deposits with bank</t>
  </si>
  <si>
    <t>Interest Income</t>
  </si>
  <si>
    <t>SCHEDULE  8 - CURRENT ASSETS,  LOANS AND ADVANCES.</t>
  </si>
  <si>
    <t>SCHEDULE 9 - CURRENT LIABILITIES  AND PROVISIONS</t>
  </si>
  <si>
    <t>SCHEDULE 10 - GOVERNMENT GRANTS</t>
  </si>
  <si>
    <t>SCHEDULE 11 - HOSPITAL INCOME</t>
  </si>
  <si>
    <t>SCHEDULE 12 - INTEREST INCOME</t>
  </si>
  <si>
    <t xml:space="preserve">Interest on Investments </t>
  </si>
  <si>
    <t>Animal House Expense</t>
  </si>
  <si>
    <t>h)  Rent, Rates and Taxes (Lease A/c ACTREC)   Schedule IX</t>
  </si>
  <si>
    <t>Rates &amp; Taxes</t>
  </si>
  <si>
    <t>Lease A/c</t>
  </si>
  <si>
    <t>i)   Minor equipments &amp; Replacement of capital equipments (including motor vehicles)</t>
  </si>
  <si>
    <t>Minor Equipment</t>
  </si>
  <si>
    <t>Replacement of Motor Vehicles</t>
  </si>
  <si>
    <t>j)    Postage, Telephone and  Communication Charges  (Schedule IX)</t>
  </si>
  <si>
    <t>Postage</t>
  </si>
  <si>
    <t>Telephone</t>
  </si>
  <si>
    <t>k)   Printing and Stationary  (Schedule IX)</t>
  </si>
  <si>
    <t>l)  Travelling and Conveyance Exp.  
( including Visiting Members, TA to 
candidates)</t>
  </si>
  <si>
    <t>T.A. Exp</t>
  </si>
  <si>
    <t>Visting Members</t>
  </si>
  <si>
    <t>T.A. to Candidate</t>
  </si>
  <si>
    <t>Local Conveyance</t>
  </si>
  <si>
    <t xml:space="preserve">Transport &amp; Hire </t>
  </si>
  <si>
    <t>m)  Cancer registry prog., Rural 
Cancer project, Intra mural research exp.</t>
  </si>
  <si>
    <t>Cancer Registry Programme</t>
  </si>
  <si>
    <t>Rural Cancer Programme</t>
  </si>
  <si>
    <t>Intra Mural Research Expense</t>
  </si>
  <si>
    <t>n)    X-ray Department expenses   (Schedule VIII)</t>
  </si>
  <si>
    <t>o)    Auditors Remuneration</t>
  </si>
  <si>
    <t>Audit Fees</t>
  </si>
  <si>
    <t xml:space="preserve">p)   Symposium and Training </t>
  </si>
  <si>
    <t>q)   Professional Charges (Legal Charges + Consultancy Chgs) Ann. B</t>
  </si>
  <si>
    <t>Legal Charges</t>
  </si>
  <si>
    <t>Consultancy Charges</t>
  </si>
  <si>
    <t>Mumbai, August   , 2005</t>
  </si>
  <si>
    <t>Deduct : Balance Amount against grants received from external agencies transferred last year.</t>
  </si>
  <si>
    <t xml:space="preserve">        -    On  Deposit  Accounts</t>
  </si>
  <si>
    <t>SCHEDULE 15 - CONSUMABLE STORES</t>
  </si>
  <si>
    <t>Labour and Processing Expenses</t>
  </si>
  <si>
    <t>r)   Advertisement Expenses Schedule XI</t>
  </si>
  <si>
    <t>s)    Laboratory Expenses  Schedule VIII</t>
  </si>
  <si>
    <t>t)    Misc Expenses</t>
  </si>
  <si>
    <t>u) Golden Jubilee Celeberation of CRI</t>
  </si>
  <si>
    <t>Interest on Fixed Loans (HDFC)</t>
  </si>
  <si>
    <t>Description</t>
  </si>
  <si>
    <t>A) Opening Stock of Drugs</t>
  </si>
  <si>
    <t>B) Purchases</t>
  </si>
  <si>
    <t>DRUGS</t>
  </si>
  <si>
    <t>C) Closing Stock of Drugs</t>
  </si>
  <si>
    <t>2.    Interest Accrued on Deposits  :</t>
  </si>
  <si>
    <t>Minor Equipments &amp; Replacement Of Capital Equipments</t>
  </si>
  <si>
    <t>Library Expenses</t>
  </si>
  <si>
    <t>Electricity and Power</t>
  </si>
  <si>
    <t>Water Charges</t>
  </si>
  <si>
    <t>Repairs  and Maintenance</t>
  </si>
  <si>
    <t>Animal House Expenses</t>
  </si>
  <si>
    <t>Rent, Rates and Taxes</t>
  </si>
  <si>
    <t>Postage, Telephone and  Communication Charges</t>
  </si>
  <si>
    <t>Printing and Stationary</t>
  </si>
  <si>
    <t>Travelling and Conveyance Expenses</t>
  </si>
  <si>
    <t>X-Ray Department Expenses</t>
  </si>
  <si>
    <t>Auditors Remuneration</t>
  </si>
  <si>
    <t>Symposium and Training</t>
  </si>
  <si>
    <t>Professional Charges</t>
  </si>
  <si>
    <t>Advertisement Expenses</t>
  </si>
  <si>
    <t>Laboratory Expenses</t>
  </si>
  <si>
    <t>Miscellaneous Expenses</t>
  </si>
  <si>
    <t>Provision for Doubtful Receivables</t>
  </si>
  <si>
    <t>Provision for Doubtful Advances</t>
  </si>
  <si>
    <t>a)</t>
  </si>
  <si>
    <t>b)</t>
  </si>
  <si>
    <t>c)</t>
  </si>
  <si>
    <t>d)</t>
  </si>
  <si>
    <t>e)</t>
  </si>
  <si>
    <t>f)</t>
  </si>
  <si>
    <t>g)</t>
  </si>
  <si>
    <t>h)</t>
  </si>
  <si>
    <t>i)</t>
  </si>
  <si>
    <t>j)</t>
  </si>
  <si>
    <t>k)</t>
  </si>
  <si>
    <t>l)</t>
  </si>
  <si>
    <t>m)</t>
  </si>
  <si>
    <t>n)</t>
  </si>
  <si>
    <t>o)</t>
  </si>
  <si>
    <t>p)</t>
  </si>
  <si>
    <t>q)</t>
  </si>
  <si>
    <t>r)</t>
  </si>
  <si>
    <t>s)</t>
  </si>
  <si>
    <t>t)</t>
  </si>
  <si>
    <t>u)</t>
  </si>
  <si>
    <t>v)</t>
  </si>
  <si>
    <t>Recurring Grants from Government of India</t>
  </si>
  <si>
    <t>SCHEDULE 9 : GOVERNMENT GRANTS</t>
  </si>
  <si>
    <t>SCHEDULE 10 : INCOME FROM SERVICES RENDERED</t>
  </si>
  <si>
    <t>HOSP. INCOME : STOMA CLINIC FEES</t>
  </si>
  <si>
    <t>HOSP. INCOME : SURGERY - CONSULTATION</t>
  </si>
  <si>
    <t>HOSP. INCOME : SURGERY - OPERATIONS</t>
  </si>
  <si>
    <t>HOSP. INCOME : SURGERY - OUTSIDE PRACTICE</t>
  </si>
  <si>
    <t>TOTAL OF SCHEDULE 17</t>
  </si>
  <si>
    <t>HOSP. INCOME : RADIOTHERAPY</t>
  </si>
  <si>
    <t>HOSP. INCOME : PATHOLOGY - PATH.FEES/CBC</t>
  </si>
  <si>
    <t>HOSP. INCOME : MED. ONCOLOGY-CONSL./ECG</t>
  </si>
  <si>
    <t>HOSP. INCOME : HOSPITALISATION</t>
  </si>
  <si>
    <t>HOSP. INCOME : BIOCHEMISTRY FEES</t>
  </si>
  <si>
    <t>HOSP. INCOME : REGISTRATION FEES</t>
  </si>
  <si>
    <t>HOSP. INCOME : OTHER MISC. FEES</t>
  </si>
  <si>
    <t>HOSP. INCOME : CARDIALOGY SERVICES</t>
  </si>
  <si>
    <t>HOSP. INCOME : RADIOLOGY - PROF. INCOME</t>
  </si>
  <si>
    <t>HOSP. INCOME : ANAESTHESIA - PROF. INCOME</t>
  </si>
  <si>
    <t>HOSP. INCOME : PHYSIOTHERPY</t>
  </si>
  <si>
    <t>HOSP.INCOME  :  OCCUPATIONAL THERAPY</t>
  </si>
  <si>
    <t>HOSP.INCOME  :  TISSUE BANK</t>
  </si>
  <si>
    <t>HOSP.INCOME  :  MED. ONCOLOGY - PROF.INCOME</t>
  </si>
  <si>
    <t xml:space="preserve">        a)   Income Tax </t>
  </si>
  <si>
    <t xml:space="preserve">TOTAL   </t>
  </si>
  <si>
    <t>B)  PROVISIONS</t>
  </si>
  <si>
    <r>
      <t xml:space="preserve">For </t>
    </r>
    <r>
      <rPr>
        <b/>
        <sz val="12"/>
        <rFont val="Times New Roman"/>
        <family val="1"/>
      </rPr>
      <t>S. B. Billimoria &amp; Co.</t>
    </r>
  </si>
  <si>
    <r>
      <t>A)</t>
    </r>
    <r>
      <rPr>
        <sz val="12"/>
        <rFont val="Times New Roman"/>
        <family val="1"/>
      </rPr>
      <t xml:space="preserve">    </t>
    </r>
    <r>
      <rPr>
        <b/>
        <sz val="12"/>
        <rFont val="Times New Roman"/>
        <family val="1"/>
      </rPr>
      <t>CURRENT LIABILITES</t>
    </r>
  </si>
  <si>
    <r>
      <t xml:space="preserve">        </t>
    </r>
    <r>
      <rPr>
        <u val="single"/>
        <sz val="12"/>
        <rFont val="Times New Roman"/>
        <family val="1"/>
      </rPr>
      <t>With  Scheduled Banks :</t>
    </r>
  </si>
  <si>
    <r>
      <t>Note:</t>
    </r>
    <r>
      <rPr>
        <sz val="12"/>
        <rFont val="Times New Roman"/>
        <family val="1"/>
      </rPr>
      <t xml:space="preserve"> As per the meeting of Governing Council held on 24/3/04, it was decided by the council that in order to ensure that the objectives of the Tata Memorial Centre (TMC) Corpus Fund are fulfilled , it was decided that the funds receieved from external agencies, other than funds received from Department of Atomic Energy, would be summarized seperatley into the Income and Expenditure Account and Balance Sheet every year that would be kept distinctly along with the TMC main account.</t>
    </r>
  </si>
  <si>
    <r>
      <t>Add/(Deduct)</t>
    </r>
    <r>
      <rPr>
        <sz val="12"/>
        <rFont val="Times New Roman"/>
        <family val="1"/>
      </rPr>
      <t xml:space="preserve"> :  Balance of net income/(expenditure) transferred from                  </t>
    </r>
  </si>
  <si>
    <t>PARTICUARS</t>
  </si>
  <si>
    <t>Other Deposits</t>
  </si>
  <si>
    <t xml:space="preserve"> Gratuity</t>
  </si>
  <si>
    <t xml:space="preserve"> Accumulated Leave Encashment</t>
  </si>
  <si>
    <t>SCHEDULE  7 - CURRENT ASSETS,  LOANS AND ADVANCES.</t>
  </si>
  <si>
    <t xml:space="preserve">HOSP.INCOME  :  PATHOLOGY - CONSULTATION </t>
  </si>
  <si>
    <t>HOSP.INCOME  :  PATHOLOGY - PROF.INCOME</t>
  </si>
  <si>
    <t>HOSP.INCOME  :  BLOOD BANK CHARGES</t>
  </si>
  <si>
    <t>HOSP.INCOME  :  SPEECH THERAPY</t>
  </si>
  <si>
    <t>HOSP INCOME : PET SCAN OTHER SERVICES</t>
  </si>
  <si>
    <t>SCHEDULE 11 - INCOME FROM  INVESTMENTS</t>
  </si>
  <si>
    <t>INTEREST ON DEPOSITS</t>
  </si>
  <si>
    <t>SCHEDULE   12 -  INTEREST  EARNED</t>
  </si>
  <si>
    <t>Interest on Vehicles Advance   2004-2005</t>
  </si>
  <si>
    <t>Interest on HBA</t>
  </si>
  <si>
    <t>SCHEDULE 13-OTHER INCOME</t>
  </si>
  <si>
    <t>Miscellaneous Receipts</t>
  </si>
  <si>
    <t>BS</t>
  </si>
  <si>
    <t xml:space="preserve">HOSP. INCOME </t>
  </si>
  <si>
    <t>CURR ASSETS</t>
  </si>
  <si>
    <t xml:space="preserve">Linen </t>
  </si>
  <si>
    <t>Laundry</t>
  </si>
  <si>
    <t xml:space="preserve">Books </t>
  </si>
  <si>
    <t xml:space="preserve">Journals </t>
  </si>
  <si>
    <t xml:space="preserve">Electricity Charges </t>
  </si>
  <si>
    <t xml:space="preserve">Water Charges </t>
  </si>
  <si>
    <t xml:space="preserve">repairs &amp; Maint of Misc. </t>
  </si>
  <si>
    <t xml:space="preserve">Maint of Bio-Medical AMC </t>
  </si>
  <si>
    <t xml:space="preserve">Gas </t>
  </si>
  <si>
    <t xml:space="preserve">Replacement of Equipment </t>
  </si>
  <si>
    <t>Printing &amp; Stationery</t>
  </si>
  <si>
    <t xml:space="preserve">Symposium &amp; Training Prog. </t>
  </si>
  <si>
    <t>Advertisement</t>
  </si>
  <si>
    <t>Laboratory Exp.</t>
  </si>
  <si>
    <t xml:space="preserve">Misc Exp. </t>
  </si>
  <si>
    <t xml:space="preserve">Minor works </t>
  </si>
  <si>
    <t>3RD INTERNATIONAL SEMINAR IN PSYCHO.-SO</t>
  </si>
  <si>
    <t>Other Liabilities</t>
  </si>
  <si>
    <t>V NATIONAL ONCOLOGY CONFERENCE-BHAGAVAT</t>
  </si>
  <si>
    <t>ISRO-INTERNATIONAL TEACHING COURSES-DR.</t>
  </si>
  <si>
    <t>MYELOMA CONFERENCE-TMH-DR.S.H.ADVANI</t>
  </si>
  <si>
    <t>8TH ASIA PACIFIC BMT CONGRESS-DR.T. SAI</t>
  </si>
  <si>
    <t>REGIONAL CEREBRAL BLOOD VOLUME-DR. R.JALALI</t>
  </si>
  <si>
    <t>MSBTE-PG DIPLOMA IN RADIOTHERAPY TECHNO</t>
  </si>
  <si>
    <t>UPDATE ON URINARY CYTOLOGY-MRS. D. AJIT</t>
  </si>
  <si>
    <t>G1 WORKSHOP ON NEOSPHINCTERS &amp; SPHINCTE</t>
  </si>
  <si>
    <t>SEMINARS FOR TRENDS IN BIOMEDICAL LIBRA</t>
  </si>
  <si>
    <t>WHO REGIONAL WORKSHOP AT TMH - DR.KELKA</t>
  </si>
  <si>
    <t>UICC INTERNATION ONCO. NURSING FELLOWSH</t>
  </si>
  <si>
    <t>IMRT WORKSHOP CUM TEACHING COURSE DR. S</t>
  </si>
  <si>
    <t>IAEA/RCA REGIONAL TRAINING COURSE-DR.NH</t>
  </si>
  <si>
    <t>A WORKSHOP ON CYTOLOGY IARC BARSHI -DR.</t>
  </si>
  <si>
    <t>EBM-2004 [DR.S. LASKAR]</t>
  </si>
  <si>
    <t>CONF. OF THE ASIA PAC. ASSN APASTB DR.</t>
  </si>
  <si>
    <t>HEALTH MELA-MIN OF HEALTH &amp; FAMILY DR. SHASTRI</t>
  </si>
  <si>
    <t>COLORECTAL CONFERENCE TMH DR. SHRIVASTAVA</t>
  </si>
  <si>
    <t>IMRT WORKSHOP TMH DR. SHRIVASTAVA</t>
  </si>
  <si>
    <t>DIAGNOSTIC ISSUES IN CYTOLOGY DR.D. AJIT</t>
  </si>
  <si>
    <t>CANCER REHABILITAION MRS. JS BADAKERE</t>
  </si>
  <si>
    <t>3) Donations in kind amounting to Rs 31,592,610 are included in donations brought forward from previous year valued at comparable purchase price.</t>
  </si>
  <si>
    <t>3.     Loans/ Advances to staff</t>
  </si>
  <si>
    <t>4.      Income Tax Due Receivable &amp; Other Claims  Receivable</t>
  </si>
  <si>
    <t>INTERNATIONAL SKELETAL SOCIETY DR. NA JAMBHEKAR</t>
  </si>
  <si>
    <t>TEMPORARY ADVANCE [RESEARCH CENTRE]</t>
  </si>
  <si>
    <t>DONATIONS : MISC. RESEARCH PURPOSE TMH</t>
  </si>
  <si>
    <t>DONATIONS : SIR DTT GRANT - CELL SEPERA</t>
  </si>
  <si>
    <t>DONATIONS : TISCO - RESEARCH CT SCAN EQ</t>
  </si>
  <si>
    <t>DONATIONS : ESTATE OF LATE ALICE SAM MI</t>
  </si>
  <si>
    <t>DONATIONS : TMC MAHINDRA BOLERO V-CARE</t>
  </si>
  <si>
    <t>DONATIONS : BENEVOLENT FUND FOR TMC EMP</t>
  </si>
  <si>
    <t>DONATION FROM CBI MARUTI OMNI</t>
  </si>
  <si>
    <t>SCHEDULE - 2  EARMARKED / ENDOWMENT FUNDS</t>
  </si>
  <si>
    <t>UNSPENT BALANCES ON WORKSHOP</t>
  </si>
  <si>
    <t>DONATION GRANT</t>
  </si>
  <si>
    <t xml:space="preserve">LESS : </t>
  </si>
  <si>
    <t>SCHEDULE 3 - ACADEMIC FUND</t>
  </si>
  <si>
    <t xml:space="preserve">Opening Balance </t>
  </si>
  <si>
    <t>Add :- Addition During the year</t>
  </si>
  <si>
    <t>Less : Deduction during the year</t>
  </si>
  <si>
    <t>SCHEDULE 4-SECURED LOANS  AND BORROWINGS</t>
  </si>
  <si>
    <t>HOUSING LOAN BY HDFC</t>
  </si>
  <si>
    <t>SCHEDULE- 5  UNSECURED LOANS</t>
  </si>
  <si>
    <t xml:space="preserve">BANK BALANCES OVERDRAWN </t>
  </si>
  <si>
    <t>3. Cash Balance</t>
  </si>
  <si>
    <t>Cash in hand</t>
  </si>
  <si>
    <t>Advance Kitchen</t>
  </si>
  <si>
    <t>Advance Social Worker</t>
  </si>
  <si>
    <t>Advance Conveyance</t>
  </si>
  <si>
    <t>Advance Postage</t>
  </si>
  <si>
    <t>4 Bank Balances with Schedule Banks</t>
  </si>
  <si>
    <t>Central Bank of India A/c no 2 (10923)</t>
  </si>
  <si>
    <t>Central Bank of India A/c 3 (10939)</t>
  </si>
  <si>
    <t>Central Bank of India H.S.S. A/C 5527</t>
  </si>
  <si>
    <t>UTI BANK A/C</t>
  </si>
  <si>
    <t>ii) On Deposit Account</t>
  </si>
  <si>
    <t xml:space="preserve">Fixed Deposits with C.B.I. </t>
  </si>
  <si>
    <t xml:space="preserve">Fixed Deposits with Govt. of India [RBI Bond] </t>
  </si>
  <si>
    <t>iii) On Saving Account (As per Schedule VIII of Cash Basis)</t>
  </si>
  <si>
    <t>Donation Saving A/c 5976</t>
  </si>
  <si>
    <t>IDBI Bank Saving A/c 191681</t>
  </si>
  <si>
    <t>SBI Parel Branch Current Account - 5014</t>
  </si>
  <si>
    <t>Transferred to 'Sundry Debtors' grouping</t>
  </si>
  <si>
    <t>Inventories (Stores)/Dispensary</t>
  </si>
  <si>
    <t>Sundry Debtors</t>
  </si>
  <si>
    <t>Cash/Bank Balance Schedule VII</t>
  </si>
  <si>
    <t>B. Loans Advances &amp; Other Assets</t>
  </si>
  <si>
    <t>1) Loans : ADVANCES TO STAFF AGAINST SALARY</t>
  </si>
  <si>
    <t>Salaries : LTC Advance  (TMH)</t>
  </si>
  <si>
    <t>T.A. :  Advances (TMH)</t>
  </si>
  <si>
    <t>NCPF Advance (TMH)</t>
  </si>
  <si>
    <t xml:space="preserve">Deduction/Remittances DAE Quarters Licence </t>
  </si>
  <si>
    <t>FESTIVAL ADVANCE (CRI)</t>
  </si>
  <si>
    <t>DEDUCTION/REMITTANCES  PF SUBCRIPTION</t>
  </si>
  <si>
    <t>LEAVE SALALRY ADVANCE</t>
  </si>
  <si>
    <t>UNIVERSITY FEES (CRI)</t>
  </si>
  <si>
    <t>ADVANCES : HOUSE BUILDING (OLD)</t>
  </si>
  <si>
    <t>ADVANCES : COMPUTER (OLD)</t>
  </si>
  <si>
    <t>DEDUCTIONS / REMITTANCES : ADV.SALARY (LAB</t>
  </si>
  <si>
    <t xml:space="preserve"> ADV. FOR REVENUE STAMP RECOVERY</t>
  </si>
  <si>
    <t>TMC CPF</t>
  </si>
  <si>
    <t xml:space="preserve"> 2.     Advances  and other amounts recoverable  in cash  
        or in kind or for value to be received</t>
  </si>
  <si>
    <t>a)  Advances for Expenses &amp; Purchases</t>
  </si>
  <si>
    <t>OTHER EXP. : ADVANCES</t>
  </si>
  <si>
    <t>MAINT. OF BUILDING &amp; ELECTRIC ADVANCE</t>
  </si>
  <si>
    <t>OTHER CHARGES D.S.D. CRI</t>
  </si>
  <si>
    <t>CUSTOM DUTY DEPOSITS TMH EXP.</t>
  </si>
  <si>
    <t>MAINT. OF BLDG. &amp; ELEC. : ADVANCES</t>
  </si>
  <si>
    <t>MAINT.OF BIO-MEDICAL EQUIPMENT ADVANCES, TMH</t>
  </si>
  <si>
    <t>ADVANCES : RECURRING EXPENDITURE - TMH</t>
  </si>
  <si>
    <t>MARGIN DEPOSIT</t>
  </si>
  <si>
    <t>MINOR EQUIPMENT ADVANCE</t>
  </si>
  <si>
    <t>Temp. Adv CRI</t>
  </si>
  <si>
    <t>b) Prepaid Expenses</t>
  </si>
  <si>
    <t>Prepaid Expenses</t>
  </si>
  <si>
    <t>c) DEPOSITS</t>
  </si>
  <si>
    <t xml:space="preserve">3) Income Accrued </t>
  </si>
  <si>
    <t>Interest Accrued A/c.</t>
  </si>
  <si>
    <t>4.  Claims  Receivable  Income Tax Receivable</t>
  </si>
  <si>
    <t>Income &amp; Expenditure Appropriation</t>
  </si>
  <si>
    <t>SUSPENSE A/C. - TMH</t>
  </si>
  <si>
    <t>Total Of B</t>
  </si>
  <si>
    <t>A)  CURRENT LIABILITIES</t>
  </si>
  <si>
    <t>1) Remittances of Salary Deduction</t>
  </si>
  <si>
    <t>DEDUCTION/REMITTANCE : NCPF TMH</t>
  </si>
  <si>
    <t>DEDUCTION/REMITTANCE : P.F. SUBSCRIPTION</t>
  </si>
  <si>
    <t>DEDUCTION/REMITTANCES OTHERS</t>
  </si>
  <si>
    <t>DEDUCTION/REMITTANCE : CO-OP SOCIETY</t>
  </si>
  <si>
    <t>DEDUCTION/REMITTANCE/ PF SUBCRIPTION</t>
  </si>
  <si>
    <t>ADVANCE CPF (T)</t>
  </si>
  <si>
    <t>ADVANCE CPF (C)</t>
  </si>
  <si>
    <t>ADVANCE VPF (T)</t>
  </si>
  <si>
    <t>DEDUCTION/REMITTANCE  : LICENCE FEES</t>
  </si>
  <si>
    <t>P.F. SUBSCRIPTION</t>
  </si>
  <si>
    <t>DEDUCTION/REMITTANCE : CONSUMER SOCIETY</t>
  </si>
  <si>
    <t>INSURANCE</t>
  </si>
  <si>
    <t>MSPT</t>
  </si>
  <si>
    <t>2) UNDISBURSED &amp; UNCLIAMED SALARIES</t>
  </si>
  <si>
    <t>EMPLOYER'S CONTRIBUTION TO LABOUR</t>
  </si>
  <si>
    <t>UNDISBURSED SALARY LAB.</t>
  </si>
  <si>
    <t>UNCLAIMED SALARY - TMH</t>
  </si>
  <si>
    <t>UNCLAIMED SALARY  LAB. - TMH</t>
  </si>
  <si>
    <t>UNDISBURSED FESTIVAL ADVANCE (T)</t>
  </si>
  <si>
    <t>UNDISBURSED FESTIVAL ADVANCE (C)</t>
  </si>
  <si>
    <t>3) UNSPENT BALANCES OF WORKSHOP</t>
  </si>
  <si>
    <t>BORGES MEMORIAL HOME</t>
  </si>
  <si>
    <t>TMC-CPF</t>
  </si>
  <si>
    <t>UNIVERSITY SHARE OF TUTION FEES</t>
  </si>
  <si>
    <t>4) OTHER DEPOSITS</t>
  </si>
  <si>
    <t>CAUTION MONEY DEPOSIT</t>
  </si>
  <si>
    <t>HOSPITAL DEPOSIT</t>
  </si>
  <si>
    <t>HOSPITAL TENDER DEPOSIT</t>
  </si>
  <si>
    <t>SECURITY DEPOSITS</t>
  </si>
  <si>
    <t>MISC. DEPOSIT</t>
  </si>
  <si>
    <t>DIET DEPOSIT</t>
  </si>
  <si>
    <t>PATIENT'S AID A/C.</t>
  </si>
  <si>
    <t>HOSTEL DEPOSIT</t>
  </si>
  <si>
    <t>DEPOSIT PERMANENT CO.REFERRED PATIENTS</t>
  </si>
  <si>
    <t>TOTAL OF (4) …..&gt;</t>
  </si>
  <si>
    <t>5)  Others (Accrued Balances)</t>
  </si>
  <si>
    <t>1) Provision for  Expense</t>
  </si>
  <si>
    <t>2) Provision for Salary Expenses</t>
  </si>
  <si>
    <t>B)  Provisions for Retirement Benefits</t>
  </si>
  <si>
    <t xml:space="preserve">1)   Provision for Gratuity </t>
  </si>
  <si>
    <t>2)   Proviosion for Leave Encashment</t>
  </si>
  <si>
    <t>OPER. EXP.: DRUGS</t>
  </si>
  <si>
    <t>INCOME ON SALE OF ASSETS</t>
  </si>
  <si>
    <t>EXPENSES FROM PLAN ACCOUNT</t>
  </si>
  <si>
    <t>ASSETS WRITTEN OFF</t>
  </si>
  <si>
    <t xml:space="preserve">Schedule </t>
  </si>
  <si>
    <t>EARMARKED/ENDOWMENT FUNDS</t>
  </si>
  <si>
    <t xml:space="preserve">ACADEMIC FUND </t>
  </si>
  <si>
    <t xml:space="preserve">SECURED LOANS </t>
  </si>
  <si>
    <t>UNSECURED LOANS</t>
  </si>
  <si>
    <t>ASSETS</t>
  </si>
  <si>
    <t>Gross Block</t>
  </si>
  <si>
    <t>Less:Provision for Depreciation</t>
  </si>
  <si>
    <t>Net Block</t>
  </si>
  <si>
    <t>Capital Work-in- Progress</t>
  </si>
  <si>
    <t xml:space="preserve">CURRENT ASSETS, LOANS AND ADVANCES </t>
  </si>
  <si>
    <t>LESS: CURENT LIABILITES AND PROVISIONS</t>
  </si>
  <si>
    <t>NET CURRENT ASSETS</t>
  </si>
  <si>
    <t xml:space="preserve">TOTAL </t>
  </si>
  <si>
    <t>SIGNIFICANT ACCOUNTING POLICIES AND NOTES TO BALANCE SHEET</t>
  </si>
  <si>
    <t>As per our report of even date attached</t>
  </si>
  <si>
    <t>For and on behalf of the Governing Council</t>
  </si>
  <si>
    <t>Chief Administrative Officer</t>
  </si>
  <si>
    <t>Chartered Accountants</t>
  </si>
  <si>
    <t>Mohammed Z. Merchant</t>
  </si>
  <si>
    <t>Partner</t>
  </si>
  <si>
    <t>BALANCE SHEEET AS AT 31st MARCH, 2005</t>
  </si>
  <si>
    <t>As at 31.3.2005</t>
  </si>
  <si>
    <t>Year Ended 31.3.2004</t>
  </si>
  <si>
    <t xml:space="preserve">A) INCOME </t>
  </si>
  <si>
    <t>Government Grants</t>
  </si>
  <si>
    <t>Hospital Income</t>
  </si>
  <si>
    <t>Other Income</t>
  </si>
  <si>
    <t>TOTAL (A)</t>
  </si>
  <si>
    <t>B) EXPENDITURE</t>
  </si>
  <si>
    <t>Transfer to Academic Fund (Refer Schedule 3 to Balance Sheet)</t>
  </si>
  <si>
    <t>Establishment Expenses</t>
  </si>
  <si>
    <t>Other Administrative Expenses</t>
  </si>
  <si>
    <t>Interest</t>
  </si>
  <si>
    <t>TOTAL (B)</t>
  </si>
  <si>
    <t>Balance being excess of  Expenditure over Income (B-A)</t>
  </si>
  <si>
    <t>SIGNIFICANT ACCOUNTING POLICIES AND NOTES TO INCOME AND EXPENDITURE</t>
  </si>
  <si>
    <t xml:space="preserve"> ACCOUNT</t>
  </si>
  <si>
    <t>INCOME AND EXPENDITURE ACCOUNT FOR THE YEAR ENDED 31st MARCH, 2005</t>
  </si>
  <si>
    <t>Year Ended 31.3.2005</t>
  </si>
  <si>
    <t>Income on Sale of Assets</t>
  </si>
  <si>
    <t>SCHEDULE 1- CORPUS/CAPITAL FUND</t>
  </si>
  <si>
    <t>Balance as at the beginning of the year</t>
  </si>
  <si>
    <t>the Income and Expenditure Account</t>
  </si>
  <si>
    <t>BALANCE AT THE YEAR - END</t>
  </si>
  <si>
    <t>(B)</t>
  </si>
  <si>
    <t>(A)</t>
  </si>
  <si>
    <t>TOTAL OF SCHEDULE 2 (A+B)</t>
  </si>
  <si>
    <t>TOTAL CURRENT ASSETS</t>
  </si>
  <si>
    <t>TOTAL CURRENT LIABILITIES</t>
  </si>
  <si>
    <t>Expenses from Plan Account</t>
  </si>
  <si>
    <t>Assets Written Off</t>
  </si>
  <si>
    <t>PROVISION FOR DEPRECIATION</t>
  </si>
  <si>
    <t>Purchase Provision for 03-04 Reversed</t>
  </si>
  <si>
    <t>ACTREC</t>
  </si>
  <si>
    <t>ACTERC</t>
  </si>
  <si>
    <t>PAY &amp; ALL.: D.A.(ADMN.STAFF)</t>
  </si>
  <si>
    <t>PAY &amp; ALL.: H.R.A.</t>
  </si>
  <si>
    <t>SALARIES-OTHERS : U.D.A.</t>
  </si>
  <si>
    <t>PAY &amp; ALL.: FOREIGN SERVICE CONTRIB</t>
  </si>
  <si>
    <t>SALARIES-OTHERS : OTHER ALLOWANCE</t>
  </si>
  <si>
    <t>CPF : EMPLOYER'S CONTRIBUTION TO P.</t>
  </si>
  <si>
    <t>GRATUITY/ENCASH. : GRATUITY</t>
  </si>
  <si>
    <t>OPER. EXP.: ANIMAL HOUSE FOOD</t>
  </si>
  <si>
    <t>OPER. EXP.: ANIMAL HOUSE-MAINT. &amp; O</t>
  </si>
  <si>
    <t>DEDUCTIONS/REMITTANCES : NCPF - CRI</t>
  </si>
  <si>
    <t>MINOR WORKS : EXPENDITURE - CRI</t>
  </si>
  <si>
    <t>MAINT.OF EQUIPT.: A.M.C.</t>
  </si>
  <si>
    <t>OFFICE EXP. : UNIFORMS/APPRONS/LIVE</t>
  </si>
  <si>
    <t>OFFICE EXP. : LOCAL CONVEYANCE</t>
  </si>
  <si>
    <t>T</t>
  </si>
  <si>
    <t>A</t>
  </si>
  <si>
    <t>MAINT. OF MOTOR VEH. : TRANSPORT &amp;</t>
  </si>
  <si>
    <t>OFFICE EXP. : RATES &amp; TAXES</t>
  </si>
  <si>
    <t>OFFICE EXP. : LEASE A/C ACTREC</t>
  </si>
  <si>
    <t>OFFICE EXP. : ADVERTISEMENT EXPENSE</t>
  </si>
  <si>
    <t>OFFICE EXP. : MISCELLANEOUS EXPENDI</t>
  </si>
  <si>
    <t>OFFICE EXP. : T.A. TO CANDIDATES FO</t>
  </si>
  <si>
    <t>OFFICE EXP. : D.S.D.</t>
  </si>
  <si>
    <t>GRATUITY/ENCASH. : COMM.OF PENSION</t>
  </si>
  <si>
    <t>PENSION : PENSION PAYMENT-CRI</t>
  </si>
  <si>
    <t>PENSION : RELIEF ON PENSION-CRI</t>
  </si>
  <si>
    <t>PAY &amp; ALL.: ADHOC ALLOWANCE - CRI</t>
  </si>
  <si>
    <t>MAINT.OF EQUIPT.: SPARES</t>
  </si>
  <si>
    <t>MAINT.OF EQUIPT.: REPAIRS</t>
  </si>
  <si>
    <t>PAY &amp; ALL.: NIGHT DUTY ALLOWANCE-CR</t>
  </si>
  <si>
    <t>ADH.BONUS/IR : INTERIM RELIEF - CRI</t>
  </si>
  <si>
    <t>INSTRUMENTATION FOR ADVANCE RESEARC</t>
  </si>
  <si>
    <t>INSTRUMENTATION FOR BIOINTERMATICS</t>
  </si>
  <si>
    <t>INITIATION NEW FACILITIES/UNITS ACT</t>
  </si>
  <si>
    <t>ANIMAL HOUSE RECEIPTS</t>
  </si>
  <si>
    <t>HON.&amp; SCHOLARSHIP : SCHOLASHIPS-CRI</t>
  </si>
  <si>
    <t>EDUCATION &amp; HRD COMPLEX AT ACTREC :</t>
  </si>
  <si>
    <t>ADVANCES : FESTIVAL CRI</t>
  </si>
  <si>
    <t>ADVANCES : LAND FOR STAFF QRTS.-CRI</t>
  </si>
  <si>
    <t>Animal House Receipts</t>
  </si>
  <si>
    <t>TATA MEMORIAL HOSPITAL / ACTREC</t>
  </si>
  <si>
    <t>EQUIPMENT : AIR-CONDITIONS</t>
  </si>
  <si>
    <t>EQUIPMENT : NON RECURRING - CRI</t>
  </si>
  <si>
    <t>EQUIPMENT : OFFICE CRI</t>
  </si>
  <si>
    <t>INSTRUMENTATION FOR CRC : ADVANCE</t>
  </si>
  <si>
    <t>ADVANCES : POSTAGE IMPREST-CRI</t>
  </si>
  <si>
    <t>DONATIONS : CRI</t>
  </si>
  <si>
    <t>NR-GRANT-GOVT.OF INDIA - CRI</t>
  </si>
  <si>
    <t>ADVANCES : TEMPORARY CRI</t>
  </si>
  <si>
    <t>DEPOSITS PAID - CRI</t>
  </si>
  <si>
    <t>ROLE OF PROTEIN TYR. KINASE &amp; PHOSP</t>
  </si>
  <si>
    <t>SYMPOSIUM ON SIGNAL TRANSDUCTION IN</t>
  </si>
  <si>
    <t>INTRA - MURAL RESEARCH CRI</t>
  </si>
  <si>
    <t>COMMON FACILITIES INTERNAL ROAD AND</t>
  </si>
  <si>
    <t>INSTRUMENTATION FOR ADVANCE RES. LA</t>
  </si>
  <si>
    <t>INSTRUMENTATION FOR BIOINFORMATICS</t>
  </si>
  <si>
    <t>INSTRUMENTATION FOR CRC : EXPENDITU</t>
  </si>
  <si>
    <t>DYSREGULATED EXPN OF CYCLIN D1 &amp; CY</t>
  </si>
  <si>
    <t>CBI-CBD BELAPUR TMC ACTREC A/C</t>
  </si>
  <si>
    <t>RADIOTHERAPY EQUIPMENT FOR CRC : EX</t>
  </si>
  <si>
    <t>4TH INDO US WORKSHOP ON FLOW CYTOME</t>
  </si>
  <si>
    <t>SYMPOSIUM ON CANCER CHEMOTHERAPY EX</t>
  </si>
  <si>
    <t>SYMPOSIUM ON 23RD ANNUAL CONVENTION</t>
  </si>
  <si>
    <t>TMC-ACTREC-FOREX A/C</t>
  </si>
  <si>
    <t>ACTREC BUILDING</t>
  </si>
  <si>
    <t>ACTREC EQUIPMENT</t>
  </si>
  <si>
    <t>ACTREC FURNITURE</t>
  </si>
  <si>
    <t>ACTREC COMPUTERISATION</t>
  </si>
  <si>
    <t>ACTREC ELECTRICAL WORKS</t>
  </si>
  <si>
    <t>PROVISION FOR LEAVE ENCASHMENT ACTR</t>
  </si>
  <si>
    <t>PROVISION FOR GRATUITY ACTREC</t>
  </si>
  <si>
    <t>PREPAID EXPENSES ACTREC</t>
  </si>
  <si>
    <t>CLOSING STOCK ACTREC</t>
  </si>
  <si>
    <t>CLOSING STOCK INCOME [ACTREC]</t>
  </si>
  <si>
    <t>RMC RECEIVABLE</t>
  </si>
  <si>
    <t>SUNDRY CREDITORS</t>
  </si>
  <si>
    <t>As at 31.3.2004</t>
  </si>
  <si>
    <t>L.T.C. ADVANCE</t>
  </si>
  <si>
    <t>TRANSFER TO ACADEMIC FUND ACCOUNT</t>
  </si>
  <si>
    <t>Advance Postage Imprest</t>
  </si>
  <si>
    <t>TMC ACTREC FOREX A/C</t>
  </si>
  <si>
    <t xml:space="preserve">CUSTOM DUTY DEPOSITS </t>
  </si>
  <si>
    <t>ADVANCES</t>
  </si>
  <si>
    <t>ADVANCE FESTIVAL CRI</t>
  </si>
  <si>
    <t>ADVANCE LAND QRTR CRI</t>
  </si>
  <si>
    <t>DEPOSITS PAID</t>
  </si>
  <si>
    <t>DEDUCTION/REMITTANCES NCPF</t>
  </si>
  <si>
    <t>DESCRIPTION</t>
  </si>
  <si>
    <t xml:space="preserve">                              Total</t>
  </si>
  <si>
    <t>A.   CURRENT ASSETS  :</t>
  </si>
  <si>
    <t xml:space="preserve">     b)       Others</t>
  </si>
  <si>
    <t>3.    Cash  balances  in hand</t>
  </si>
  <si>
    <t>4.    Cheques in hand</t>
  </si>
  <si>
    <t xml:space="preserve">        -    On Current  Accounts</t>
  </si>
  <si>
    <t xml:space="preserve">        -    On   Savings  Accounts</t>
  </si>
  <si>
    <t>B.   LOANS,  ADVANCES  AND  OTHER  ASSETS</t>
  </si>
  <si>
    <t>1.     Advances  and other amounts recoverable  in cash  or in kind or for</t>
  </si>
  <si>
    <t xml:space="preserve">         b)    Prepaid expenses</t>
  </si>
  <si>
    <t xml:space="preserve">         c)    Other Deposits</t>
  </si>
  <si>
    <t xml:space="preserve">        a)   On Fixed Deposits with Bank </t>
  </si>
  <si>
    <t xml:space="preserve">        b)   Others</t>
  </si>
  <si>
    <t xml:space="preserve">TOTAL  (B)   </t>
  </si>
  <si>
    <t>TOTAL  (A+B)</t>
  </si>
  <si>
    <t>TOTAL CASH IN HAND</t>
  </si>
  <si>
    <t>Undisbursed and Unclaimed Salaries</t>
  </si>
  <si>
    <t xml:space="preserve">Provision for expenses </t>
  </si>
  <si>
    <t>TOTAL  (A)</t>
  </si>
  <si>
    <t>TOTAL  (B)</t>
  </si>
  <si>
    <t xml:space="preserve">Add/(Deduct) :  Balance of net income/(expenditure) transferred from                  </t>
  </si>
  <si>
    <t>SCHEDULE 14 - INCOME FROM DISPENSARY OPERATIONS</t>
  </si>
  <si>
    <t>SCHEDULE 15 - CONSUMABLES</t>
  </si>
  <si>
    <t>SCHEDULE 16 - ESTABLISHMENT EXPENSES</t>
  </si>
  <si>
    <t>SCHEDULE 17 - OTHER ADMINISTRATIVE EXPENSES</t>
  </si>
  <si>
    <t>SCHEDULE 18 - INTEREST</t>
  </si>
  <si>
    <t xml:space="preserve">SCHEDULE  16 -  ESTABLISHMENT  EXPENSES </t>
  </si>
  <si>
    <t>SCHEDULE 17 - OTHER ADMINISTRATIVE EXPENSES.</t>
  </si>
  <si>
    <t>C) Sales</t>
  </si>
  <si>
    <t>Cash Sales</t>
  </si>
  <si>
    <t>Credit Sales</t>
  </si>
  <si>
    <t>Refunds</t>
  </si>
  <si>
    <t>Total of A +  B - C ……&gt;</t>
  </si>
  <si>
    <t>On Fixed Loans (HDFC)</t>
  </si>
  <si>
    <t>SCHEDULE 2-EARMARKED / ENDOWMENT FUNDS</t>
  </si>
  <si>
    <t>a)  Non-Recurring Grants:</t>
  </si>
  <si>
    <t xml:space="preserve">    Opening Balance</t>
  </si>
  <si>
    <t xml:space="preserve">    Additions during the year</t>
  </si>
  <si>
    <t xml:space="preserve">    Deduction during the year</t>
  </si>
  <si>
    <t xml:space="preserve">    Closing Balance</t>
  </si>
  <si>
    <t>b)   Donations</t>
  </si>
  <si>
    <t>c)  Unspent Balance of Schemes</t>
  </si>
  <si>
    <t>Total</t>
  </si>
  <si>
    <t>DRUG RECEIPTS</t>
  </si>
  <si>
    <t>***</t>
  </si>
  <si>
    <t xml:space="preserve">TATA MEMORIAL CENTRE </t>
  </si>
  <si>
    <t>Notes:</t>
  </si>
  <si>
    <t>DONATIONS CRI</t>
  </si>
  <si>
    <t>Bank Balances overdrawn as per books of Centre</t>
  </si>
  <si>
    <t>NR GRANT-GOVT.OF INDIA - CRI</t>
  </si>
  <si>
    <t xml:space="preserve">     a)       Outstanding over six months</t>
  </si>
  <si>
    <t xml:space="preserve">                                  Considered Good</t>
  </si>
  <si>
    <t xml:space="preserve">                                  Considered Doubtful</t>
  </si>
  <si>
    <t xml:space="preserve">     c)       Less: Provision for Doubtful Receivables</t>
  </si>
  <si>
    <t xml:space="preserve">         value to be received (Unsecured):</t>
  </si>
  <si>
    <t xml:space="preserve">         a)    Advances</t>
  </si>
  <si>
    <t>BALANCE BEING SURPLUS/ (DEFICIT)  CARRIED TO CAPITAL FUND</t>
  </si>
  <si>
    <t>Mumbai, August       , 2005</t>
  </si>
  <si>
    <t xml:space="preserve">SCHEDULE 4-SECURED LOANS </t>
  </si>
  <si>
    <t>Loan from Housing Development Finance Corporation Limited (HDFC)</t>
  </si>
  <si>
    <t xml:space="preserve">TOTAL  </t>
  </si>
  <si>
    <t>(Secured by mortgage of dwelling units of the TMC's employees)</t>
  </si>
  <si>
    <t xml:space="preserve"> b)    Allowances  and Bonus</t>
  </si>
  <si>
    <t xml:space="preserve"> c)    Contribution to Provident Fund</t>
  </si>
  <si>
    <t xml:space="preserve"> e)    Fellowships</t>
  </si>
  <si>
    <t>PROVISION FOR DEPRECIATION ACTREC</t>
  </si>
  <si>
    <t>EXPENSES FROM PLAN ACCOUNT ACTREC</t>
  </si>
  <si>
    <t>SCHEDULE 6-FIXED  ASSETS</t>
  </si>
  <si>
    <t>GROSS BLOCK</t>
  </si>
  <si>
    <t>DEPRECIATION</t>
  </si>
  <si>
    <t>NET BLOCK</t>
  </si>
  <si>
    <t>Cost/valuation As at beginning of the year ( 01/04/2004)</t>
  </si>
  <si>
    <t>Total Additions/Adjustments during the year</t>
  </si>
  <si>
    <t>Deductions</t>
  </si>
  <si>
    <t>Cost/valuations at the year end (31/03/2005)</t>
  </si>
  <si>
    <t>As at the beginning of the year (01/04/2004)</t>
  </si>
  <si>
    <t>During the year</t>
  </si>
  <si>
    <t>On Deletion/ Adjustments during the year</t>
  </si>
  <si>
    <t>Total up to the Year-end (31/03/2005)</t>
  </si>
  <si>
    <t>As at the Current Year-ended 31/03/2005</t>
  </si>
  <si>
    <t>As at the Previous Year-ended 31/03/2004</t>
  </si>
  <si>
    <t>A.    FIXED  ASSETS :</t>
  </si>
  <si>
    <t>1.     LAND:</t>
  </si>
  <si>
    <t>2.     BUILDINGS :</t>
  </si>
  <si>
    <t>3.     PLANT MACHINERY &amp; EQUIPMENT</t>
  </si>
  <si>
    <t>4.     VEHICLES</t>
  </si>
  <si>
    <t>5.     FURNITURE, FIXTURES</t>
  </si>
  <si>
    <t>6.     OFFICE EQUIPMENT</t>
  </si>
  <si>
    <t>7. COMPUTER/ PERIPHERALS</t>
  </si>
  <si>
    <t>TOTAL OF CURRENT  YEAR</t>
  </si>
  <si>
    <t xml:space="preserve">Notes </t>
  </si>
  <si>
    <t>1) Land amounting to Rs. 1,97,608/- is in the name of President of India.</t>
  </si>
  <si>
    <t>2) Building on freehold land includes Rs 1,245,622/-  (Previous year Rs 1,245,622)  for CRI which has been demolished in the subsequent financial year 2004-05.</t>
  </si>
  <si>
    <t xml:space="preserve">3) Fixed Assets includes figures for CRI  having Gross Block of Rs …….. and provision for depreciation amounting to Rs.  </t>
  </si>
  <si>
    <t xml:space="preserve">4) CWIP includes a) Unreconciled figure for advances amounting to Rs. 6,119,263/- (Previous year Rs. 12,109,523).  </t>
  </si>
  <si>
    <t xml:space="preserve">5) CWIP includes Rs 8,722,187/- (Previous Year Rs. Nil) for Project - Early Detection of Cancer which is intangible in nature. </t>
  </si>
  <si>
    <t>6) Fixed assets includes capitalisation met from Ear marked Fund.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</si>
</sst>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000_);_(* \(#,##0.0000\);_(* &quot;-&quot;??_);_(@_)"/>
    <numFmt numFmtId="167" formatCode="_(* #,##0.0_);_(* \(#,##0.0\);_(* &quot;-&quot;??_);_(@_)"/>
    <numFmt numFmtId="168" formatCode="0.0"/>
    <numFmt numFmtId="169" formatCode="#,##0.0_);\(#,##0.0\)"/>
    <numFmt numFmtId="170" formatCode="#,##0.0"/>
    <numFmt numFmtId="171" formatCode="_(* #,##0.0000_);_(* \(#,##0.0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quot;$&quot;\ * #,##0.0_ ;_ &quot;$&quot;\ * \-#,##0.0_ ;_ &quot;$&quot;\ * &quot;-&quot;??_ ;_ @_ "/>
    <numFmt numFmtId="181" formatCode="_ &quot;$&quot;\ * #,##0_ ;_ &quot;$&quot;\ * \-#,##0_ ;_ &quot;$&quot;\ * &quot;-&quot;??_ ;_ @_ "/>
    <numFmt numFmtId="182" formatCode="_ * #,##0.0_ ;_ * \-#,##0.0_ ;_ * &quot;-&quot;??_ ;_ @_ "/>
    <numFmt numFmtId="183" formatCode="_ * #,##0_ ;_ * \-#,##0_ ;_ * &quot;-&quot;??_ ;_ @_ "/>
  </numFmts>
  <fonts count="9">
    <font>
      <sz val="10"/>
      <name val="Arial"/>
      <family val="0"/>
    </font>
    <font>
      <sz val="12"/>
      <name val="Times New Roman"/>
      <family val="1"/>
    </font>
    <font>
      <sz val="12"/>
      <color indexed="8"/>
      <name val="Times New Roman"/>
      <family val="1"/>
    </font>
    <font>
      <b/>
      <sz val="12"/>
      <name val="Times New Roman"/>
      <family val="1"/>
    </font>
    <font>
      <b/>
      <u val="single"/>
      <sz val="12"/>
      <name val="Times New Roman"/>
      <family val="1"/>
    </font>
    <font>
      <u val="single"/>
      <sz val="12"/>
      <name val="Times New Roman"/>
      <family val="1"/>
    </font>
    <font>
      <b/>
      <i/>
      <sz val="12"/>
      <name val="Times New Roman"/>
      <family val="1"/>
    </font>
    <font>
      <b/>
      <sz val="12"/>
      <color indexed="8"/>
      <name val="Times New Roman"/>
      <family val="1"/>
    </font>
    <font>
      <i/>
      <sz val="12"/>
      <name val="Times New Roman"/>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62">
    <border>
      <left/>
      <right/>
      <top/>
      <bottom/>
      <diagonal/>
    </border>
    <border>
      <left style="thin"/>
      <right style="medium"/>
      <top>
        <color indexed="63"/>
      </top>
      <bottom>
        <color indexed="63"/>
      </bottom>
    </border>
    <border>
      <left style="medium"/>
      <right>
        <color indexed="63"/>
      </right>
      <top style="medium"/>
      <bottom style="thin"/>
    </border>
    <border>
      <left style="medium"/>
      <right>
        <color indexed="63"/>
      </right>
      <top>
        <color indexed="63"/>
      </top>
      <bottom style="medium"/>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thin"/>
      <right style="thin"/>
      <top>
        <color indexed="63"/>
      </top>
      <bottom style="medium"/>
    </border>
    <border>
      <left>
        <color indexed="63"/>
      </left>
      <right style="medium"/>
      <top>
        <color indexed="63"/>
      </top>
      <bottom style="medium"/>
    </border>
    <border>
      <left style="medium"/>
      <right style="thin"/>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thin"/>
      <right style="thin"/>
      <top style="thin"/>
      <bottom style="mediu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color indexed="63"/>
      </left>
      <right style="thin"/>
      <top style="thin"/>
      <bottom style="medium"/>
    </border>
    <border>
      <left style="thin"/>
      <right style="medium"/>
      <top style="thin"/>
      <bottom style="medium"/>
    </border>
    <border>
      <left style="medium"/>
      <right style="medium"/>
      <top style="medium"/>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style="thin"/>
      <bottom>
        <color indexed="63"/>
      </bottom>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style="thin"/>
      <right style="medium"/>
      <top>
        <color indexed="63"/>
      </top>
      <bottom style="thin"/>
    </border>
    <border>
      <left style="thin"/>
      <right>
        <color indexed="63"/>
      </right>
      <top style="thin"/>
      <bottom>
        <color indexed="63"/>
      </bottom>
    </border>
    <border>
      <left style="thin"/>
      <right>
        <color indexed="63"/>
      </right>
      <top style="thin"/>
      <bottom style="medium"/>
    </border>
    <border>
      <left>
        <color indexed="63"/>
      </left>
      <right style="thin"/>
      <top>
        <color indexed="63"/>
      </top>
      <bottom style="thin"/>
    </border>
    <border>
      <left>
        <color indexed="63"/>
      </left>
      <right style="medium"/>
      <top style="thin"/>
      <bottom>
        <color indexed="63"/>
      </bottom>
    </border>
    <border>
      <left style="medium"/>
      <right style="thin"/>
      <top>
        <color indexed="63"/>
      </top>
      <bottom style="medium"/>
    </border>
    <border>
      <left>
        <color indexed="63"/>
      </left>
      <right style="medium"/>
      <top style="thin"/>
      <bottom style="medium"/>
    </border>
    <border>
      <left style="thin"/>
      <right>
        <color indexed="63"/>
      </right>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7">
    <xf numFmtId="0" fontId="0" fillId="0" borderId="0" xfId="0" applyAlignment="1">
      <alignment/>
    </xf>
    <xf numFmtId="164" fontId="1" fillId="0" borderId="1" xfId="15" applyNumberFormat="1" applyFont="1" applyBorder="1" applyAlignment="1">
      <alignment/>
    </xf>
    <xf numFmtId="0" fontId="3" fillId="0" borderId="0" xfId="0" applyFont="1" applyBorder="1" applyAlignment="1">
      <alignment/>
    </xf>
    <xf numFmtId="0" fontId="3" fillId="0" borderId="2" xfId="0" applyFont="1" applyBorder="1" applyAlignment="1">
      <alignment horizontal="center" vertical="center"/>
    </xf>
    <xf numFmtId="164" fontId="3" fillId="0" borderId="3" xfId="0" applyNumberFormat="1" applyFont="1" applyBorder="1" applyAlignment="1">
      <alignment horizontal="center"/>
    </xf>
    <xf numFmtId="0" fontId="1" fillId="0" borderId="0" xfId="0" applyFont="1" applyBorder="1" applyAlignment="1">
      <alignment/>
    </xf>
    <xf numFmtId="0" fontId="3" fillId="0" borderId="4" xfId="0" applyFont="1" applyBorder="1" applyAlignment="1">
      <alignment horizontal="center" wrapText="1"/>
    </xf>
    <xf numFmtId="0" fontId="3" fillId="0" borderId="5" xfId="0" applyFont="1" applyBorder="1" applyAlignment="1">
      <alignment horizontal="center" wrapText="1"/>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164" fontId="1" fillId="0" borderId="7" xfId="15" applyNumberFormat="1" applyFont="1" applyBorder="1" applyAlignment="1">
      <alignment/>
    </xf>
    <xf numFmtId="164" fontId="1" fillId="0" borderId="8" xfId="15" applyNumberFormat="1" applyFont="1" applyBorder="1" applyAlignment="1">
      <alignment/>
    </xf>
    <xf numFmtId="0" fontId="1" fillId="0" borderId="9" xfId="0" applyFont="1" applyBorder="1" applyAlignment="1">
      <alignment/>
    </xf>
    <xf numFmtId="164" fontId="1" fillId="0" borderId="10" xfId="15" applyNumberFormat="1" applyFont="1" applyFill="1" applyBorder="1" applyAlignment="1">
      <alignment/>
    </xf>
    <xf numFmtId="164" fontId="1" fillId="0" borderId="11" xfId="15" applyNumberFormat="1" applyFont="1" applyBorder="1" applyAlignment="1">
      <alignment/>
    </xf>
    <xf numFmtId="164" fontId="3" fillId="0" borderId="12" xfId="15" applyNumberFormat="1" applyFont="1" applyBorder="1" applyAlignment="1">
      <alignment/>
    </xf>
    <xf numFmtId="164" fontId="3" fillId="0" borderId="13" xfId="15" applyNumberFormat="1" applyFont="1" applyBorder="1" applyAlignment="1">
      <alignment/>
    </xf>
    <xf numFmtId="0" fontId="3" fillId="0" borderId="6"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xf>
    <xf numFmtId="0" fontId="3" fillId="0" borderId="14"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xf>
    <xf numFmtId="0" fontId="3" fillId="0" borderId="16" xfId="0" applyFont="1" applyBorder="1" applyAlignment="1">
      <alignment/>
    </xf>
    <xf numFmtId="0" fontId="3" fillId="0" borderId="0" xfId="0" applyFont="1" applyBorder="1" applyAlignment="1">
      <alignment horizontal="left"/>
    </xf>
    <xf numFmtId="0" fontId="3" fillId="0" borderId="17" xfId="0" applyFont="1" applyBorder="1" applyAlignment="1">
      <alignment/>
    </xf>
    <xf numFmtId="0" fontId="3" fillId="0" borderId="18" xfId="0" applyFont="1" applyBorder="1" applyAlignment="1">
      <alignment vertical="center"/>
    </xf>
    <xf numFmtId="0" fontId="1" fillId="0" borderId="19" xfId="0" applyFont="1" applyBorder="1" applyAlignment="1">
      <alignment/>
    </xf>
    <xf numFmtId="164" fontId="1" fillId="0" borderId="20" xfId="15" applyNumberFormat="1" applyFont="1" applyBorder="1" applyAlignment="1">
      <alignment/>
    </xf>
    <xf numFmtId="0" fontId="1" fillId="0" borderId="21" xfId="0" applyFont="1" applyBorder="1" applyAlignment="1">
      <alignment/>
    </xf>
    <xf numFmtId="164" fontId="1" fillId="0" borderId="10" xfId="15" applyNumberFormat="1" applyFont="1" applyBorder="1" applyAlignment="1">
      <alignment/>
    </xf>
    <xf numFmtId="164" fontId="3" fillId="0" borderId="22" xfId="15" applyNumberFormat="1" applyFont="1" applyBorder="1" applyAlignment="1">
      <alignment/>
    </xf>
    <xf numFmtId="0" fontId="3" fillId="0" borderId="23" xfId="0" applyFont="1" applyBorder="1" applyAlignment="1">
      <alignment horizontal="center"/>
    </xf>
    <xf numFmtId="0" fontId="3" fillId="0" borderId="4" xfId="0" applyFont="1" applyBorder="1" applyAlignment="1">
      <alignment horizontal="center"/>
    </xf>
    <xf numFmtId="0" fontId="3" fillId="0" borderId="24" xfId="0" applyFont="1" applyBorder="1" applyAlignment="1">
      <alignment horizontal="center"/>
    </xf>
    <xf numFmtId="0" fontId="3" fillId="0" borderId="14" xfId="0" applyFont="1" applyBorder="1" applyAlignment="1">
      <alignment/>
    </xf>
    <xf numFmtId="0" fontId="4" fillId="0" borderId="19" xfId="0" applyFont="1" applyBorder="1" applyAlignment="1">
      <alignment/>
    </xf>
    <xf numFmtId="0" fontId="4" fillId="0" borderId="18" xfId="0" applyFont="1" applyBorder="1" applyAlignment="1">
      <alignment/>
    </xf>
    <xf numFmtId="0" fontId="3" fillId="0" borderId="25" xfId="0" applyFont="1" applyBorder="1" applyAlignment="1">
      <alignment vertical="center"/>
    </xf>
    <xf numFmtId="164" fontId="3" fillId="0" borderId="23" xfId="15" applyNumberFormat="1" applyFont="1" applyBorder="1" applyAlignment="1">
      <alignment vertical="center"/>
    </xf>
    <xf numFmtId="164" fontId="3" fillId="0" borderId="26" xfId="15" applyNumberFormat="1" applyFont="1" applyBorder="1" applyAlignment="1">
      <alignment vertical="center"/>
    </xf>
    <xf numFmtId="2" fontId="3" fillId="0" borderId="27" xfId="0" applyNumberFormat="1" applyFont="1" applyBorder="1" applyAlignment="1">
      <alignment/>
    </xf>
    <xf numFmtId="0" fontId="3" fillId="0" borderId="18" xfId="0" applyFont="1" applyBorder="1" applyAlignment="1">
      <alignment/>
    </xf>
    <xf numFmtId="164" fontId="3" fillId="0" borderId="28" xfId="15" applyNumberFormat="1" applyFont="1" applyBorder="1" applyAlignment="1">
      <alignment/>
    </xf>
    <xf numFmtId="164" fontId="3" fillId="0" borderId="29" xfId="15" applyNumberFormat="1" applyFont="1" applyBorder="1" applyAlignment="1">
      <alignment/>
    </xf>
    <xf numFmtId="0" fontId="3" fillId="0" borderId="0" xfId="0" applyFont="1" applyBorder="1" applyAlignment="1">
      <alignment horizontal="center" vertical="center"/>
    </xf>
    <xf numFmtId="0" fontId="1" fillId="0" borderId="1" xfId="0" applyFont="1" applyBorder="1" applyAlignment="1">
      <alignment/>
    </xf>
    <xf numFmtId="164" fontId="1" fillId="0" borderId="23" xfId="15" applyNumberFormat="1" applyFont="1" applyBorder="1" applyAlignment="1">
      <alignment/>
    </xf>
    <xf numFmtId="164" fontId="1" fillId="0" borderId="26" xfId="15" applyNumberFormat="1" applyFont="1" applyBorder="1" applyAlignment="1">
      <alignment/>
    </xf>
    <xf numFmtId="0" fontId="3" fillId="0" borderId="3" xfId="0" applyFont="1" applyBorder="1" applyAlignment="1">
      <alignment horizontal="center"/>
    </xf>
    <xf numFmtId="0" fontId="4" fillId="0" borderId="7" xfId="0" applyFont="1" applyBorder="1" applyAlignment="1">
      <alignment/>
    </xf>
    <xf numFmtId="0" fontId="1" fillId="0" borderId="0" xfId="0" applyFont="1" applyBorder="1" applyAlignment="1">
      <alignment horizontal="center"/>
    </xf>
    <xf numFmtId="0" fontId="3" fillId="0" borderId="30" xfId="0" applyFont="1" applyBorder="1" applyAlignment="1">
      <alignment/>
    </xf>
    <xf numFmtId="0" fontId="3" fillId="0" borderId="30" xfId="0" applyFont="1" applyBorder="1" applyAlignment="1">
      <alignment horizontal="center" wrapText="1"/>
    </xf>
    <xf numFmtId="0" fontId="3" fillId="0" borderId="30" xfId="0" applyFont="1" applyBorder="1" applyAlignment="1">
      <alignment horizontal="center" vertical="top" wrapText="1"/>
    </xf>
    <xf numFmtId="0" fontId="3" fillId="0" borderId="31" xfId="0" applyFont="1" applyBorder="1" applyAlignment="1">
      <alignment/>
    </xf>
    <xf numFmtId="0" fontId="3" fillId="0" borderId="31" xfId="0" applyFont="1" applyBorder="1" applyAlignment="1">
      <alignment horizontal="center"/>
    </xf>
    <xf numFmtId="0" fontId="1" fillId="0" borderId="32" xfId="0" applyFont="1" applyBorder="1" applyAlignment="1">
      <alignment horizontal="left"/>
    </xf>
    <xf numFmtId="0" fontId="1" fillId="0" borderId="33" xfId="0" applyFont="1" applyBorder="1" applyAlignment="1">
      <alignment horizontal="left"/>
    </xf>
    <xf numFmtId="0" fontId="1" fillId="0" borderId="34" xfId="0" applyFont="1" applyBorder="1" applyAlignment="1">
      <alignment horizontal="left"/>
    </xf>
    <xf numFmtId="0" fontId="1" fillId="0" borderId="0" xfId="0" applyFont="1" applyAlignment="1">
      <alignment/>
    </xf>
    <xf numFmtId="0" fontId="1" fillId="0" borderId="3" xfId="0" applyFont="1" applyBorder="1" applyAlignment="1">
      <alignment/>
    </xf>
    <xf numFmtId="0" fontId="1" fillId="0" borderId="35" xfId="0" applyFont="1" applyBorder="1" applyAlignment="1">
      <alignment/>
    </xf>
    <xf numFmtId="0" fontId="3" fillId="0" borderId="36" xfId="0" applyFont="1" applyBorder="1" applyAlignment="1">
      <alignment/>
    </xf>
    <xf numFmtId="0" fontId="3" fillId="0" borderId="20" xfId="0" applyFont="1" applyBorder="1" applyAlignment="1">
      <alignment horizontal="right"/>
    </xf>
    <xf numFmtId="0" fontId="3" fillId="0" borderId="8" xfId="0" applyFont="1" applyBorder="1" applyAlignment="1">
      <alignment horizontal="right"/>
    </xf>
    <xf numFmtId="0" fontId="3" fillId="0" borderId="19" xfId="0" applyFont="1" applyBorder="1" applyAlignment="1">
      <alignment horizontal="right"/>
    </xf>
    <xf numFmtId="0" fontId="1" fillId="0" borderId="19" xfId="0" applyFont="1" applyBorder="1" applyAlignment="1">
      <alignment horizontal="center"/>
    </xf>
    <xf numFmtId="0" fontId="1" fillId="0" borderId="25" xfId="0" applyFont="1" applyBorder="1" applyAlignment="1">
      <alignment/>
    </xf>
    <xf numFmtId="164" fontId="3" fillId="0" borderId="37" xfId="15" applyNumberFormat="1" applyFont="1" applyBorder="1" applyAlignment="1">
      <alignment/>
    </xf>
    <xf numFmtId="164" fontId="3" fillId="0" borderId="38" xfId="15" applyNumberFormat="1" applyFont="1" applyBorder="1" applyAlignment="1">
      <alignment/>
    </xf>
    <xf numFmtId="164" fontId="1" fillId="0" borderId="39" xfId="15" applyNumberFormat="1" applyFont="1" applyBorder="1" applyAlignment="1">
      <alignment/>
    </xf>
    <xf numFmtId="0" fontId="1" fillId="0" borderId="6" xfId="0" applyFont="1" applyFill="1" applyBorder="1" applyAlignment="1">
      <alignment/>
    </xf>
    <xf numFmtId="164" fontId="1" fillId="0" borderId="0" xfId="15" applyNumberFormat="1" applyFont="1" applyBorder="1" applyAlignment="1">
      <alignment/>
    </xf>
    <xf numFmtId="164" fontId="1" fillId="0" borderId="40" xfId="15" applyNumberFormat="1" applyFont="1" applyBorder="1" applyAlignment="1">
      <alignment/>
    </xf>
    <xf numFmtId="164" fontId="1" fillId="0" borderId="0" xfId="0" applyNumberFormat="1" applyFont="1" applyBorder="1" applyAlignment="1">
      <alignment/>
    </xf>
    <xf numFmtId="0" fontId="1" fillId="0" borderId="6" xfId="0" applyFont="1" applyBorder="1" applyAlignment="1">
      <alignment horizontal="center"/>
    </xf>
    <xf numFmtId="164" fontId="1" fillId="0" borderId="41" xfId="15" applyNumberFormat="1" applyFont="1" applyBorder="1" applyAlignment="1">
      <alignment/>
    </xf>
    <xf numFmtId="164" fontId="1" fillId="0" borderId="27" xfId="15" applyNumberFormat="1" applyFont="1" applyBorder="1" applyAlignment="1">
      <alignment/>
    </xf>
    <xf numFmtId="164" fontId="1" fillId="0" borderId="0" xfId="0" applyNumberFormat="1" applyFont="1" applyAlignment="1">
      <alignment/>
    </xf>
    <xf numFmtId="164" fontId="1" fillId="0" borderId="42" xfId="15" applyNumberFormat="1" applyFont="1" applyBorder="1" applyAlignment="1">
      <alignment/>
    </xf>
    <xf numFmtId="164" fontId="1" fillId="0" borderId="29" xfId="15" applyNumberFormat="1" applyFont="1" applyBorder="1" applyAlignment="1">
      <alignment/>
    </xf>
    <xf numFmtId="164" fontId="3" fillId="0" borderId="0" xfId="15" applyNumberFormat="1" applyFont="1" applyBorder="1" applyAlignment="1">
      <alignment/>
    </xf>
    <xf numFmtId="164" fontId="3" fillId="0" borderId="1" xfId="15" applyNumberFormat="1" applyFont="1" applyBorder="1" applyAlignment="1">
      <alignment/>
    </xf>
    <xf numFmtId="0" fontId="1" fillId="0" borderId="21" xfId="0" applyFont="1" applyBorder="1" applyAlignment="1">
      <alignment horizontal="center"/>
    </xf>
    <xf numFmtId="0" fontId="1" fillId="0" borderId="25" xfId="0" applyFont="1" applyBorder="1" applyAlignment="1">
      <alignment horizontal="center"/>
    </xf>
    <xf numFmtId="164" fontId="3" fillId="0" borderId="43" xfId="15" applyNumberFormat="1" applyFont="1" applyBorder="1" applyAlignment="1">
      <alignment/>
    </xf>
    <xf numFmtId="164" fontId="3" fillId="0" borderId="11" xfId="15" applyNumberFormat="1" applyFont="1" applyBorder="1" applyAlignment="1">
      <alignment/>
    </xf>
    <xf numFmtId="164" fontId="3" fillId="0" borderId="0" xfId="0" applyNumberFormat="1" applyFont="1" applyAlignment="1">
      <alignment/>
    </xf>
    <xf numFmtId="0" fontId="1" fillId="0" borderId="6" xfId="0" applyFont="1" applyBorder="1" applyAlignment="1">
      <alignment wrapText="1"/>
    </xf>
    <xf numFmtId="164" fontId="1" fillId="0" borderId="44" xfId="15" applyNumberFormat="1" applyFont="1" applyBorder="1" applyAlignment="1">
      <alignment/>
    </xf>
    <xf numFmtId="0" fontId="1" fillId="0" borderId="45" xfId="0" applyFont="1" applyBorder="1" applyAlignment="1">
      <alignment horizontal="center"/>
    </xf>
    <xf numFmtId="164" fontId="1" fillId="0" borderId="12" xfId="15" applyNumberFormat="1" applyFont="1" applyBorder="1" applyAlignment="1">
      <alignment/>
    </xf>
    <xf numFmtId="164" fontId="1" fillId="0" borderId="13" xfId="15" applyNumberFormat="1" applyFont="1" applyBorder="1" applyAlignment="1">
      <alignment/>
    </xf>
    <xf numFmtId="0" fontId="3" fillId="0" borderId="24" xfId="0" applyFont="1" applyBorder="1" applyAlignment="1">
      <alignment horizontal="center" wrapText="1"/>
    </xf>
    <xf numFmtId="0" fontId="1" fillId="0" borderId="6" xfId="0" applyFont="1" applyBorder="1" applyAlignment="1">
      <alignment horizontal="left"/>
    </xf>
    <xf numFmtId="164" fontId="3" fillId="0" borderId="46" xfId="15" applyNumberFormat="1" applyFont="1" applyBorder="1" applyAlignment="1">
      <alignment/>
    </xf>
    <xf numFmtId="41" fontId="1" fillId="0" borderId="7" xfId="15" applyFont="1" applyBorder="1" applyAlignment="1">
      <alignment/>
    </xf>
    <xf numFmtId="41" fontId="1" fillId="0" borderId="8" xfId="15" applyFont="1" applyBorder="1" applyAlignment="1">
      <alignment/>
    </xf>
    <xf numFmtId="41" fontId="1" fillId="0" borderId="1" xfId="15" applyFont="1" applyBorder="1" applyAlignment="1">
      <alignment/>
    </xf>
    <xf numFmtId="3" fontId="1" fillId="0" borderId="7" xfId="0" applyNumberFormat="1" applyFont="1" applyBorder="1" applyAlignment="1">
      <alignment/>
    </xf>
    <xf numFmtId="0" fontId="1" fillId="0" borderId="47" xfId="0" applyFont="1" applyBorder="1" applyAlignment="1">
      <alignment/>
    </xf>
    <xf numFmtId="0" fontId="1" fillId="0" borderId="39" xfId="0" applyFont="1" applyBorder="1" applyAlignment="1">
      <alignment/>
    </xf>
    <xf numFmtId="0" fontId="3" fillId="0" borderId="7" xfId="0" applyFont="1" applyBorder="1" applyAlignment="1">
      <alignment horizontal="center"/>
    </xf>
    <xf numFmtId="0" fontId="3" fillId="0" borderId="1" xfId="0" applyFont="1" applyBorder="1" applyAlignment="1">
      <alignment horizontal="center"/>
    </xf>
    <xf numFmtId="0" fontId="3" fillId="0" borderId="45" xfId="0" applyFont="1" applyBorder="1" applyAlignment="1">
      <alignment horizontal="center"/>
    </xf>
    <xf numFmtId="0" fontId="1" fillId="0" borderId="0" xfId="0" applyFont="1" applyAlignment="1">
      <alignment horizontal="right"/>
    </xf>
    <xf numFmtId="0" fontId="3" fillId="0" borderId="19" xfId="0" applyFont="1" applyBorder="1" applyAlignment="1">
      <alignment/>
    </xf>
    <xf numFmtId="0" fontId="1" fillId="0" borderId="0" xfId="0" applyFont="1" applyFill="1" applyBorder="1" applyAlignment="1">
      <alignment/>
    </xf>
    <xf numFmtId="0" fontId="1" fillId="0" borderId="8" xfId="0" applyFont="1" applyFill="1" applyBorder="1" applyAlignment="1">
      <alignment/>
    </xf>
    <xf numFmtId="0" fontId="1" fillId="0" borderId="7" xfId="0" applyFont="1" applyFill="1" applyBorder="1" applyAlignment="1">
      <alignment/>
    </xf>
    <xf numFmtId="0" fontId="1" fillId="0" borderId="6" xfId="0" applyFont="1" applyFill="1" applyBorder="1" applyAlignment="1">
      <alignment horizontal="left"/>
    </xf>
    <xf numFmtId="0" fontId="3" fillId="0" borderId="0" xfId="0" applyFont="1" applyAlignment="1">
      <alignment/>
    </xf>
    <xf numFmtId="2" fontId="1" fillId="0" borderId="7" xfId="0" applyNumberFormat="1" applyFont="1" applyBorder="1" applyAlignment="1">
      <alignment/>
    </xf>
    <xf numFmtId="2" fontId="1" fillId="0" borderId="39" xfId="0" applyNumberFormat="1" applyFont="1" applyBorder="1" applyAlignment="1">
      <alignment/>
    </xf>
    <xf numFmtId="2" fontId="1" fillId="0" borderId="1" xfId="0" applyNumberFormat="1" applyFont="1" applyBorder="1" applyAlignment="1">
      <alignment/>
    </xf>
    <xf numFmtId="164" fontId="1" fillId="0" borderId="47" xfId="15" applyNumberFormat="1" applyFont="1" applyBorder="1" applyAlignment="1">
      <alignment/>
    </xf>
    <xf numFmtId="0" fontId="3" fillId="0" borderId="19" xfId="0" applyFont="1" applyBorder="1" applyAlignment="1">
      <alignment/>
    </xf>
    <xf numFmtId="0" fontId="1" fillId="0" borderId="0" xfId="0" applyFont="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6" xfId="0" applyFont="1" applyBorder="1" applyAlignment="1">
      <alignment vertical="center" wrapText="1"/>
    </xf>
    <xf numFmtId="164" fontId="1" fillId="0" borderId="7" xfId="15" applyNumberFormat="1" applyFont="1" applyBorder="1" applyAlignment="1">
      <alignment vertical="center"/>
    </xf>
    <xf numFmtId="164" fontId="1" fillId="0" borderId="39" xfId="15" applyNumberFormat="1" applyFont="1" applyBorder="1" applyAlignment="1">
      <alignment vertical="center"/>
    </xf>
    <xf numFmtId="164" fontId="1" fillId="0" borderId="27" xfId="15" applyNumberFormat="1" applyFont="1" applyBorder="1" applyAlignment="1">
      <alignment vertical="center"/>
    </xf>
    <xf numFmtId="0" fontId="1" fillId="0" borderId="19" xfId="0" applyFont="1" applyBorder="1" applyAlignment="1">
      <alignment vertical="center" wrapText="1"/>
    </xf>
    <xf numFmtId="164" fontId="1" fillId="0" borderId="1" xfId="15" applyNumberFormat="1" applyFont="1" applyBorder="1" applyAlignment="1">
      <alignment vertical="center"/>
    </xf>
    <xf numFmtId="0" fontId="3" fillId="0" borderId="25" xfId="0" applyFont="1" applyBorder="1" applyAlignment="1">
      <alignment vertical="center" wrapText="1"/>
    </xf>
    <xf numFmtId="0" fontId="3" fillId="0" borderId="18" xfId="0" applyFont="1" applyBorder="1" applyAlignment="1">
      <alignment vertical="center" wrapText="1"/>
    </xf>
    <xf numFmtId="164" fontId="3" fillId="0" borderId="22" xfId="15" applyNumberFormat="1" applyFont="1" applyBorder="1" applyAlignment="1">
      <alignment vertical="center"/>
    </xf>
    <xf numFmtId="164" fontId="1" fillId="0" borderId="0" xfId="0" applyNumberFormat="1" applyFont="1" applyAlignment="1">
      <alignment vertical="center"/>
    </xf>
    <xf numFmtId="171" fontId="1" fillId="0" borderId="0" xfId="15" applyNumberFormat="1" applyFont="1" applyAlignment="1">
      <alignment vertical="center"/>
    </xf>
    <xf numFmtId="0" fontId="3" fillId="0" borderId="0" xfId="0" applyFont="1" applyAlignment="1">
      <alignment vertical="center"/>
    </xf>
    <xf numFmtId="0" fontId="1" fillId="0" borderId="31" xfId="0" applyFont="1" applyBorder="1" applyAlignment="1">
      <alignment/>
    </xf>
    <xf numFmtId="164" fontId="1" fillId="0" borderId="8" xfId="0" applyNumberFormat="1" applyFont="1" applyBorder="1" applyAlignment="1">
      <alignment/>
    </xf>
    <xf numFmtId="0" fontId="1" fillId="0" borderId="48" xfId="0" applyFont="1" applyBorder="1" applyAlignment="1">
      <alignment/>
    </xf>
    <xf numFmtId="0" fontId="1" fillId="0" borderId="20" xfId="0" applyFont="1" applyBorder="1" applyAlignment="1">
      <alignment/>
    </xf>
    <xf numFmtId="0" fontId="1" fillId="0" borderId="6" xfId="0" applyFont="1" applyFill="1" applyBorder="1" applyAlignment="1">
      <alignment wrapText="1"/>
    </xf>
    <xf numFmtId="0" fontId="4" fillId="0" borderId="0" xfId="0" applyFont="1" applyBorder="1" applyAlignment="1">
      <alignment wrapText="1"/>
    </xf>
    <xf numFmtId="0" fontId="3" fillId="0" borderId="32" xfId="0" applyFont="1" applyFill="1" applyBorder="1" applyAlignment="1">
      <alignment horizontal="center" wrapText="1"/>
    </xf>
    <xf numFmtId="0" fontId="3" fillId="0" borderId="6" xfId="0" applyFont="1" applyBorder="1" applyAlignment="1">
      <alignment vertical="center" wrapText="1"/>
    </xf>
    <xf numFmtId="0" fontId="1" fillId="0" borderId="6" xfId="0" applyFont="1" applyBorder="1" applyAlignment="1">
      <alignment vertical="center" wrapText="1"/>
    </xf>
    <xf numFmtId="164" fontId="3" fillId="0" borderId="23" xfId="15" applyNumberFormat="1" applyFont="1" applyBorder="1" applyAlignment="1">
      <alignment/>
    </xf>
    <xf numFmtId="0" fontId="3" fillId="0" borderId="6" xfId="0" applyFont="1" applyBorder="1" applyAlignment="1">
      <alignment horizontal="center" vertical="center" wrapText="1"/>
    </xf>
    <xf numFmtId="164" fontId="3" fillId="0" borderId="7" xfId="15" applyNumberFormat="1" applyFont="1" applyBorder="1" applyAlignment="1">
      <alignment/>
    </xf>
    <xf numFmtId="0" fontId="3" fillId="0" borderId="3" xfId="0" applyFont="1" applyBorder="1" applyAlignment="1">
      <alignment horizontal="center" vertical="center" wrapText="1"/>
    </xf>
    <xf numFmtId="164" fontId="1" fillId="0" borderId="35" xfId="15" applyNumberFormat="1" applyFont="1" applyBorder="1" applyAlignment="1">
      <alignment/>
    </xf>
    <xf numFmtId="164" fontId="1" fillId="0" borderId="0" xfId="15" applyNumberFormat="1" applyFont="1" applyAlignment="1">
      <alignment/>
    </xf>
    <xf numFmtId="0" fontId="3" fillId="0" borderId="0" xfId="0" applyFont="1" applyAlignment="1">
      <alignment/>
    </xf>
    <xf numFmtId="0" fontId="1" fillId="0" borderId="49" xfId="0" applyFont="1" applyBorder="1" applyAlignment="1">
      <alignment/>
    </xf>
    <xf numFmtId="0" fontId="1" fillId="0" borderId="7" xfId="0" applyFont="1" applyBorder="1" applyAlignment="1">
      <alignment/>
    </xf>
    <xf numFmtId="0" fontId="1" fillId="0" borderId="7" xfId="0" applyFont="1" applyBorder="1" applyAlignment="1">
      <alignment wrapText="1"/>
    </xf>
    <xf numFmtId="0" fontId="1" fillId="0" borderId="10" xfId="0" applyFont="1" applyBorder="1" applyAlignment="1">
      <alignment/>
    </xf>
    <xf numFmtId="164" fontId="1" fillId="0" borderId="50" xfId="15" applyNumberFormat="1" applyFont="1" applyBorder="1" applyAlignment="1">
      <alignment vertical="center"/>
    </xf>
    <xf numFmtId="3" fontId="3" fillId="0" borderId="0" xfId="15" applyNumberFormat="1" applyFont="1" applyBorder="1" applyAlignment="1">
      <alignment horizontal="center"/>
    </xf>
    <xf numFmtId="164" fontId="3" fillId="0" borderId="0" xfId="15" applyNumberFormat="1" applyFont="1" applyBorder="1" applyAlignment="1">
      <alignment horizontal="center"/>
    </xf>
    <xf numFmtId="0" fontId="3" fillId="0" borderId="0" xfId="0" applyFont="1" applyBorder="1" applyAlignment="1">
      <alignment/>
    </xf>
    <xf numFmtId="164" fontId="3" fillId="0" borderId="0" xfId="15" applyNumberFormat="1" applyFont="1" applyBorder="1" applyAlignment="1">
      <alignment/>
    </xf>
    <xf numFmtId="0" fontId="4" fillId="0" borderId="0" xfId="0" applyFont="1" applyBorder="1" applyAlignment="1">
      <alignment/>
    </xf>
    <xf numFmtId="0" fontId="3" fillId="0" borderId="0" xfId="0" applyFont="1" applyBorder="1" applyAlignment="1">
      <alignment wrapText="1"/>
    </xf>
    <xf numFmtId="164" fontId="1" fillId="0" borderId="0" xfId="15" applyNumberFormat="1" applyFont="1" applyBorder="1" applyAlignment="1">
      <alignment vertical="center"/>
    </xf>
    <xf numFmtId="164" fontId="3" fillId="0" borderId="0" xfId="15" applyNumberFormat="1" applyFont="1" applyBorder="1" applyAlignment="1">
      <alignment vertical="center"/>
    </xf>
    <xf numFmtId="164" fontId="3" fillId="0" borderId="0" xfId="15" applyNumberFormat="1" applyFont="1" applyBorder="1" applyAlignment="1">
      <alignment horizontal="left"/>
    </xf>
    <xf numFmtId="0" fontId="6" fillId="0" borderId="0" xfId="0" applyFont="1" applyBorder="1" applyAlignment="1">
      <alignment/>
    </xf>
    <xf numFmtId="164" fontId="1" fillId="0" borderId="0" xfId="15" applyNumberFormat="1" applyFont="1" applyBorder="1" applyAlignment="1">
      <alignment horizontal="center"/>
    </xf>
    <xf numFmtId="37" fontId="1" fillId="0" borderId="0" xfId="0" applyNumberFormat="1" applyFont="1" applyBorder="1" applyAlignment="1">
      <alignment horizontal="center"/>
    </xf>
    <xf numFmtId="0" fontId="6" fillId="0" borderId="0" xfId="0" applyFont="1" applyBorder="1" applyAlignment="1">
      <alignment horizontal="center"/>
    </xf>
    <xf numFmtId="164" fontId="6" fillId="0" borderId="0" xfId="15" applyNumberFormat="1" applyFont="1" applyBorder="1" applyAlignment="1">
      <alignment/>
    </xf>
    <xf numFmtId="43" fontId="1" fillId="0" borderId="0" xfId="0" applyNumberFormat="1" applyFont="1" applyBorder="1" applyAlignment="1">
      <alignment/>
    </xf>
    <xf numFmtId="164" fontId="1" fillId="0" borderId="0" xfId="15" applyNumberFormat="1" applyFont="1" applyFill="1" applyBorder="1" applyAlignment="1">
      <alignment/>
    </xf>
    <xf numFmtId="164" fontId="3" fillId="0" borderId="0" xfId="15" applyNumberFormat="1" applyFont="1" applyBorder="1" applyAlignment="1">
      <alignment horizontal="left" vertical="center"/>
    </xf>
    <xf numFmtId="0" fontId="5" fillId="0" borderId="0" xfId="0" applyFont="1" applyBorder="1" applyAlignment="1">
      <alignment/>
    </xf>
    <xf numFmtId="0" fontId="1" fillId="0" borderId="0" xfId="0" applyFont="1" applyBorder="1" applyAlignment="1">
      <alignment wrapText="1"/>
    </xf>
    <xf numFmtId="0" fontId="1" fillId="0" borderId="0" xfId="0" applyFont="1" applyBorder="1" applyAlignment="1">
      <alignment horizontal="left"/>
    </xf>
    <xf numFmtId="49" fontId="1" fillId="0" borderId="0" xfId="0" applyNumberFormat="1" applyFont="1" applyBorder="1" applyAlignment="1">
      <alignment horizontal="left"/>
    </xf>
    <xf numFmtId="3" fontId="1" fillId="0" borderId="0" xfId="0" applyNumberFormat="1" applyFont="1" applyBorder="1" applyAlignment="1">
      <alignment/>
    </xf>
    <xf numFmtId="3" fontId="3" fillId="0" borderId="0" xfId="0" applyNumberFormat="1" applyFont="1" applyBorder="1" applyAlignment="1">
      <alignment horizontal="left"/>
    </xf>
    <xf numFmtId="3" fontId="1" fillId="0" borderId="0" xfId="0" applyNumberFormat="1" applyFont="1" applyBorder="1" applyAlignment="1">
      <alignment horizontal="center"/>
    </xf>
    <xf numFmtId="3" fontId="1" fillId="0" borderId="0" xfId="0" applyNumberFormat="1" applyFont="1" applyBorder="1" applyAlignment="1">
      <alignment horizontal="left"/>
    </xf>
    <xf numFmtId="3" fontId="3" fillId="0" borderId="0" xfId="0" applyNumberFormat="1" applyFont="1" applyBorder="1" applyAlignment="1">
      <alignment/>
    </xf>
    <xf numFmtId="3" fontId="3" fillId="0" borderId="0" xfId="0" applyNumberFormat="1" applyFont="1" applyBorder="1" applyAlignment="1">
      <alignment horizontal="left" wrapText="1"/>
    </xf>
    <xf numFmtId="1" fontId="1" fillId="0" borderId="0" xfId="0" applyNumberFormat="1" applyFont="1" applyBorder="1" applyAlignment="1">
      <alignment horizontal="center"/>
    </xf>
    <xf numFmtId="3" fontId="1" fillId="0" borderId="0" xfId="15" applyNumberFormat="1" applyFont="1" applyBorder="1" applyAlignment="1">
      <alignment/>
    </xf>
    <xf numFmtId="3" fontId="3" fillId="0" borderId="0" xfId="15" applyNumberFormat="1" applyFont="1" applyBorder="1" applyAlignment="1">
      <alignment/>
    </xf>
    <xf numFmtId="37" fontId="1" fillId="0" borderId="0" xfId="0" applyNumberFormat="1" applyFont="1" applyBorder="1" applyAlignment="1">
      <alignment/>
    </xf>
    <xf numFmtId="3" fontId="1" fillId="0" borderId="0" xfId="0" applyNumberFormat="1" applyFont="1" applyBorder="1" applyAlignment="1">
      <alignment horizontal="right"/>
    </xf>
    <xf numFmtId="3" fontId="3" fillId="0" borderId="0" xfId="0" applyNumberFormat="1" applyFont="1" applyBorder="1" applyAlignment="1">
      <alignment horizontal="center"/>
    </xf>
    <xf numFmtId="3" fontId="1" fillId="0" borderId="0" xfId="15" applyNumberFormat="1" applyFont="1" applyBorder="1" applyAlignment="1">
      <alignment horizontal="center"/>
    </xf>
    <xf numFmtId="0" fontId="1" fillId="0" borderId="0" xfId="15" applyNumberFormat="1" applyFont="1" applyBorder="1" applyAlignment="1">
      <alignment horizontal="center"/>
    </xf>
    <xf numFmtId="3" fontId="6" fillId="0" borderId="0" xfId="15" applyNumberFormat="1" applyFont="1" applyBorder="1" applyAlignment="1">
      <alignment/>
    </xf>
    <xf numFmtId="0" fontId="1" fillId="0" borderId="0" xfId="15" applyNumberFormat="1" applyFont="1" applyBorder="1" applyAlignment="1" quotePrefix="1">
      <alignment horizontal="center"/>
    </xf>
    <xf numFmtId="3" fontId="1" fillId="0" borderId="0" xfId="15" applyNumberFormat="1" applyFont="1" applyBorder="1" applyAlignment="1">
      <alignment horizontal="left"/>
    </xf>
    <xf numFmtId="41" fontId="1" fillId="0" borderId="0" xfId="15" applyFont="1" applyBorder="1" applyAlignment="1">
      <alignment/>
    </xf>
    <xf numFmtId="37" fontId="1" fillId="0" borderId="0" xfId="15" applyNumberFormat="1" applyFont="1" applyBorder="1" applyAlignment="1">
      <alignment/>
    </xf>
    <xf numFmtId="3" fontId="7" fillId="0" borderId="0" xfId="15" applyNumberFormat="1" applyFont="1" applyBorder="1" applyAlignment="1">
      <alignment/>
    </xf>
    <xf numFmtId="3" fontId="2" fillId="0" borderId="0" xfId="15" applyNumberFormat="1" applyFont="1" applyBorder="1" applyAlignment="1">
      <alignment horizontal="center"/>
    </xf>
    <xf numFmtId="3" fontId="3" fillId="0" borderId="0" xfId="15" applyNumberFormat="1" applyFont="1" applyBorder="1" applyAlignment="1">
      <alignment wrapText="1"/>
    </xf>
    <xf numFmtId="3" fontId="3" fillId="0" borderId="0" xfId="0" applyNumberFormat="1" applyFont="1" applyBorder="1" applyAlignment="1">
      <alignment wrapText="1"/>
    </xf>
    <xf numFmtId="4" fontId="1" fillId="0" borderId="0" xfId="0" applyNumberFormat="1" applyFont="1" applyAlignment="1">
      <alignment/>
    </xf>
    <xf numFmtId="4" fontId="1" fillId="0" borderId="23" xfId="0" applyNumberFormat="1" applyFont="1" applyBorder="1" applyAlignment="1">
      <alignment horizontal="center" vertical="center" wrapText="1"/>
    </xf>
    <xf numFmtId="4" fontId="1" fillId="0" borderId="23" xfId="0" applyNumberFormat="1" applyFont="1" applyBorder="1" applyAlignment="1">
      <alignment vertical="center" wrapText="1"/>
    </xf>
    <xf numFmtId="4" fontId="1" fillId="0" borderId="23" xfId="0" applyNumberFormat="1" applyFont="1" applyBorder="1" applyAlignment="1">
      <alignment horizontal="center" wrapText="1"/>
    </xf>
    <xf numFmtId="0" fontId="1" fillId="0" borderId="23" xfId="0" applyFont="1" applyBorder="1" applyAlignment="1">
      <alignment horizontal="center"/>
    </xf>
    <xf numFmtId="0" fontId="1" fillId="0" borderId="23" xfId="0" applyFont="1" applyBorder="1" applyAlignment="1">
      <alignment/>
    </xf>
    <xf numFmtId="3" fontId="1" fillId="0" borderId="23" xfId="0" applyNumberFormat="1" applyFont="1" applyBorder="1" applyAlignment="1">
      <alignment horizontal="right" vertical="center" wrapText="1"/>
    </xf>
    <xf numFmtId="4" fontId="3" fillId="0" borderId="23" xfId="0" applyNumberFormat="1" applyFont="1" applyBorder="1" applyAlignment="1">
      <alignment horizontal="right" vertical="center" wrapText="1"/>
    </xf>
    <xf numFmtId="4" fontId="3" fillId="0" borderId="0" xfId="0" applyNumberFormat="1" applyFont="1" applyAlignment="1">
      <alignment/>
    </xf>
    <xf numFmtId="1" fontId="1" fillId="0" borderId="23" xfId="0" applyNumberFormat="1" applyFont="1" applyBorder="1" applyAlignment="1">
      <alignment horizontal="center"/>
    </xf>
    <xf numFmtId="4" fontId="1" fillId="0" borderId="23" xfId="0" applyNumberFormat="1" applyFont="1" applyBorder="1" applyAlignment="1">
      <alignment/>
    </xf>
    <xf numFmtId="39" fontId="1" fillId="0" borderId="23" xfId="0" applyNumberFormat="1" applyFont="1" applyBorder="1" applyAlignment="1">
      <alignment/>
    </xf>
    <xf numFmtId="39" fontId="6" fillId="0" borderId="23" xfId="0" applyNumberFormat="1" applyFont="1" applyBorder="1" applyAlignment="1">
      <alignment/>
    </xf>
    <xf numFmtId="39" fontId="3" fillId="0" borderId="23" xfId="0" applyNumberFormat="1" applyFont="1" applyBorder="1" applyAlignment="1">
      <alignment/>
    </xf>
    <xf numFmtId="39" fontId="3" fillId="0" borderId="23" xfId="0" applyNumberFormat="1" applyFont="1" applyBorder="1" applyAlignment="1">
      <alignment horizontal="right"/>
    </xf>
    <xf numFmtId="3" fontId="1" fillId="0" borderId="23" xfId="0" applyNumberFormat="1" applyFont="1" applyBorder="1" applyAlignment="1">
      <alignment/>
    </xf>
    <xf numFmtId="3" fontId="8" fillId="0" borderId="23" xfId="0" applyNumberFormat="1" applyFont="1" applyBorder="1" applyAlignment="1">
      <alignment/>
    </xf>
    <xf numFmtId="39" fontId="8" fillId="0" borderId="23" xfId="0" applyNumberFormat="1" applyFont="1" applyBorder="1" applyAlignment="1">
      <alignment/>
    </xf>
    <xf numFmtId="4" fontId="1" fillId="2" borderId="23" xfId="0" applyNumberFormat="1" applyFont="1" applyFill="1" applyBorder="1" applyAlignment="1">
      <alignment/>
    </xf>
    <xf numFmtId="3" fontId="3" fillId="0" borderId="23" xfId="0" applyNumberFormat="1" applyFont="1" applyBorder="1" applyAlignment="1">
      <alignment/>
    </xf>
    <xf numFmtId="41" fontId="8" fillId="0" borderId="23" xfId="15" applyFont="1" applyBorder="1" applyAlignment="1">
      <alignment/>
    </xf>
    <xf numFmtId="4" fontId="1" fillId="0" borderId="0" xfId="15" applyNumberFormat="1" applyFont="1" applyAlignment="1">
      <alignment/>
    </xf>
    <xf numFmtId="4" fontId="1" fillId="0" borderId="0" xfId="0" applyNumberFormat="1" applyFont="1" applyBorder="1" applyAlignment="1">
      <alignment/>
    </xf>
    <xf numFmtId="0" fontId="1" fillId="0" borderId="31" xfId="0" applyFont="1" applyBorder="1" applyAlignment="1">
      <alignment horizontal="center"/>
    </xf>
    <xf numFmtId="164" fontId="1" fillId="0" borderId="31" xfId="15" applyNumberFormat="1" applyFont="1" applyBorder="1" applyAlignment="1">
      <alignment horizontal="right"/>
    </xf>
    <xf numFmtId="164" fontId="1" fillId="0" borderId="31" xfId="15" applyNumberFormat="1" applyFont="1" applyBorder="1" applyAlignment="1">
      <alignment/>
    </xf>
    <xf numFmtId="0" fontId="1" fillId="0" borderId="51" xfId="0" applyFont="1" applyBorder="1" applyAlignment="1">
      <alignment/>
    </xf>
    <xf numFmtId="164" fontId="6" fillId="0" borderId="51" xfId="15" applyNumberFormat="1" applyFont="1" applyBorder="1" applyAlignment="1">
      <alignment/>
    </xf>
    <xf numFmtId="0" fontId="1" fillId="0" borderId="51" xfId="0" applyFont="1" applyBorder="1" applyAlignment="1">
      <alignment horizontal="center"/>
    </xf>
    <xf numFmtId="164" fontId="1" fillId="0" borderId="52" xfId="15" applyNumberFormat="1" applyFont="1" applyBorder="1" applyAlignment="1">
      <alignment/>
    </xf>
    <xf numFmtId="164" fontId="1" fillId="0" borderId="53" xfId="15" applyNumberFormat="1" applyFont="1" applyBorder="1" applyAlignment="1">
      <alignment/>
    </xf>
    <xf numFmtId="0" fontId="1" fillId="0" borderId="52" xfId="0" applyFont="1" applyBorder="1" applyAlignment="1">
      <alignment/>
    </xf>
    <xf numFmtId="0" fontId="1" fillId="0" borderId="48" xfId="0" applyFont="1" applyBorder="1" applyAlignment="1">
      <alignment horizontal="center"/>
    </xf>
    <xf numFmtId="164" fontId="3" fillId="0" borderId="29" xfId="15" applyNumberFormat="1" applyFont="1" applyBorder="1" applyAlignment="1">
      <alignment vertical="center"/>
    </xf>
    <xf numFmtId="41" fontId="1" fillId="0" borderId="11" xfId="15" applyFont="1" applyBorder="1" applyAlignment="1">
      <alignment/>
    </xf>
    <xf numFmtId="41" fontId="3" fillId="0" borderId="12" xfId="15" applyFont="1" applyBorder="1" applyAlignment="1">
      <alignment/>
    </xf>
    <xf numFmtId="41" fontId="3" fillId="0" borderId="13" xfId="15" applyFont="1" applyBorder="1" applyAlignment="1">
      <alignment/>
    </xf>
    <xf numFmtId="41" fontId="3" fillId="0" borderId="22" xfId="15" applyFont="1" applyBorder="1" applyAlignment="1">
      <alignment/>
    </xf>
    <xf numFmtId="41" fontId="3" fillId="0" borderId="46" xfId="15" applyFont="1" applyBorder="1" applyAlignment="1">
      <alignment/>
    </xf>
    <xf numFmtId="41" fontId="3" fillId="0" borderId="29" xfId="15" applyFont="1" applyBorder="1" applyAlignment="1">
      <alignment/>
    </xf>
    <xf numFmtId="0" fontId="3" fillId="0" borderId="18" xfId="0" applyFont="1" applyBorder="1" applyAlignment="1">
      <alignment horizontal="center" vertical="center"/>
    </xf>
    <xf numFmtId="0" fontId="3" fillId="0" borderId="14" xfId="0" applyFont="1" applyBorder="1" applyAlignment="1">
      <alignment horizontal="center" vertical="center"/>
    </xf>
    <xf numFmtId="41" fontId="1" fillId="0" borderId="10" xfId="15" applyFont="1" applyBorder="1" applyAlignment="1">
      <alignment/>
    </xf>
    <xf numFmtId="41" fontId="1" fillId="0" borderId="20" xfId="15" applyFont="1" applyBorder="1" applyAlignment="1">
      <alignment/>
    </xf>
    <xf numFmtId="0" fontId="3" fillId="0" borderId="23" xfId="0" applyFont="1" applyBorder="1" applyAlignment="1">
      <alignment horizontal="center" vertical="center"/>
    </xf>
    <xf numFmtId="0" fontId="3" fillId="0" borderId="2" xfId="0" applyFont="1" applyBorder="1" applyAlignment="1">
      <alignment horizontal="center"/>
    </xf>
    <xf numFmtId="0" fontId="1" fillId="0" borderId="0" xfId="0" applyFont="1" applyAlignment="1">
      <alignment horizontal="center" vertical="center" wrapText="1"/>
    </xf>
    <xf numFmtId="41" fontId="1" fillId="0" borderId="22" xfId="15" applyFont="1" applyBorder="1" applyAlignment="1">
      <alignment/>
    </xf>
    <xf numFmtId="41" fontId="1" fillId="0" borderId="29" xfId="15" applyFont="1" applyBorder="1" applyAlignment="1">
      <alignment/>
    </xf>
    <xf numFmtId="41" fontId="1" fillId="0" borderId="23" xfId="15" applyFont="1" applyBorder="1" applyAlignment="1">
      <alignment/>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xf>
    <xf numFmtId="0" fontId="3" fillId="0" borderId="0" xfId="0" applyFont="1" applyFill="1" applyBorder="1" applyAlignment="1">
      <alignment/>
    </xf>
    <xf numFmtId="41" fontId="3" fillId="0" borderId="0" xfId="15" applyFont="1" applyFill="1" applyBorder="1" applyAlignment="1">
      <alignment/>
    </xf>
    <xf numFmtId="0" fontId="3" fillId="0" borderId="7" xfId="0" applyFont="1" applyBorder="1" applyAlignment="1">
      <alignment horizontal="center" vertical="center" wrapText="1"/>
    </xf>
    <xf numFmtId="41" fontId="1" fillId="0" borderId="7" xfId="15" applyFont="1" applyFill="1" applyBorder="1" applyAlignment="1">
      <alignment/>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Fill="1" applyBorder="1" applyAlignment="1">
      <alignment/>
    </xf>
    <xf numFmtId="41" fontId="1" fillId="0" borderId="8" xfId="15" applyFont="1" applyFill="1" applyBorder="1" applyAlignment="1">
      <alignment/>
    </xf>
    <xf numFmtId="0" fontId="3" fillId="0" borderId="17" xfId="0" applyFont="1" applyFill="1" applyBorder="1" applyAlignment="1">
      <alignment/>
    </xf>
    <xf numFmtId="41" fontId="3" fillId="0" borderId="22" xfId="15" applyFont="1" applyFill="1" applyBorder="1" applyAlignment="1">
      <alignment/>
    </xf>
    <xf numFmtId="41" fontId="3" fillId="0" borderId="46" xfId="15" applyFont="1" applyFill="1" applyBorder="1" applyAlignment="1">
      <alignment/>
    </xf>
    <xf numFmtId="41" fontId="1" fillId="0" borderId="47" xfId="15" applyFont="1" applyBorder="1" applyAlignment="1">
      <alignment/>
    </xf>
    <xf numFmtId="41" fontId="1" fillId="0" borderId="54" xfId="15" applyFont="1" applyBorder="1" applyAlignment="1">
      <alignment/>
    </xf>
    <xf numFmtId="41" fontId="1" fillId="0" borderId="43" xfId="15" applyFont="1" applyBorder="1" applyAlignment="1">
      <alignment/>
    </xf>
    <xf numFmtId="41" fontId="1" fillId="0" borderId="41" xfId="15" applyFont="1" applyBorder="1" applyAlignment="1">
      <alignment/>
    </xf>
    <xf numFmtId="41" fontId="4" fillId="0" borderId="23" xfId="15" applyFont="1" applyBorder="1" applyAlignment="1">
      <alignment vertical="center"/>
    </xf>
    <xf numFmtId="41" fontId="3" fillId="0" borderId="23" xfId="15" applyFont="1" applyBorder="1" applyAlignment="1">
      <alignment vertical="center"/>
    </xf>
    <xf numFmtId="41" fontId="3" fillId="0" borderId="26" xfId="15" applyFont="1" applyBorder="1" applyAlignment="1">
      <alignment vertical="center"/>
    </xf>
    <xf numFmtId="41" fontId="4" fillId="0" borderId="12" xfId="15" applyFont="1" applyBorder="1" applyAlignment="1">
      <alignment vertical="center"/>
    </xf>
    <xf numFmtId="41" fontId="3" fillId="0" borderId="12" xfId="15" applyFont="1" applyBorder="1" applyAlignment="1">
      <alignment vertical="center"/>
    </xf>
    <xf numFmtId="41" fontId="3" fillId="0" borderId="55" xfId="15" applyFont="1" applyBorder="1" applyAlignment="1">
      <alignment vertical="center"/>
    </xf>
    <xf numFmtId="41" fontId="1" fillId="0" borderId="39" xfId="15" applyFont="1" applyBorder="1" applyAlignment="1">
      <alignment/>
    </xf>
    <xf numFmtId="0" fontId="3" fillId="0" borderId="24" xfId="0" applyFont="1" applyBorder="1" applyAlignment="1">
      <alignment horizontal="center" vertical="center" wrapText="1"/>
    </xf>
    <xf numFmtId="164" fontId="3" fillId="0" borderId="46" xfId="0" applyNumberFormat="1" applyFont="1" applyBorder="1" applyAlignment="1">
      <alignment/>
    </xf>
    <xf numFmtId="0" fontId="3" fillId="0" borderId="14" xfId="0" applyFont="1" applyBorder="1" applyAlignment="1">
      <alignment horizontal="center" vertical="center" wrapText="1"/>
    </xf>
    <xf numFmtId="41" fontId="1" fillId="0" borderId="26" xfId="15" applyFont="1" applyBorder="1" applyAlignment="1">
      <alignment/>
    </xf>
    <xf numFmtId="164" fontId="3" fillId="0" borderId="50" xfId="15" applyNumberFormat="1" applyFont="1" applyBorder="1" applyAlignment="1">
      <alignment vertical="center"/>
    </xf>
    <xf numFmtId="164" fontId="3" fillId="0" borderId="23" xfId="15" applyNumberFormat="1" applyFont="1" applyBorder="1" applyAlignment="1">
      <alignment horizontal="center" vertical="center"/>
    </xf>
    <xf numFmtId="164" fontId="1" fillId="0" borderId="39" xfId="15" applyNumberFormat="1" applyFont="1" applyFill="1" applyBorder="1" applyAlignment="1">
      <alignment/>
    </xf>
    <xf numFmtId="0" fontId="1" fillId="0" borderId="0" xfId="0" applyFont="1" applyFill="1" applyAlignment="1">
      <alignment/>
    </xf>
    <xf numFmtId="41" fontId="1" fillId="0" borderId="1" xfId="15" applyFont="1" applyFill="1" applyBorder="1" applyAlignment="1">
      <alignment/>
    </xf>
    <xf numFmtId="164" fontId="1" fillId="0" borderId="7" xfId="15" applyNumberFormat="1" applyFont="1" applyFill="1" applyBorder="1" applyAlignment="1">
      <alignment vertical="center"/>
    </xf>
    <xf numFmtId="164" fontId="3" fillId="0" borderId="23" xfId="15" applyNumberFormat="1" applyFont="1" applyFill="1" applyBorder="1" applyAlignment="1">
      <alignment vertical="center"/>
    </xf>
    <xf numFmtId="164" fontId="3" fillId="0" borderId="22" xfId="15" applyNumberFormat="1" applyFont="1" applyFill="1" applyBorder="1" applyAlignment="1">
      <alignment vertical="center"/>
    </xf>
    <xf numFmtId="0" fontId="1" fillId="0" borderId="0" xfId="0" applyFont="1" applyFill="1" applyAlignment="1">
      <alignment vertical="center"/>
    </xf>
    <xf numFmtId="164" fontId="1" fillId="0" borderId="8" xfId="15" applyNumberFormat="1" applyFont="1" applyFill="1" applyBorder="1" applyAlignment="1">
      <alignment/>
    </xf>
    <xf numFmtId="164" fontId="3" fillId="0" borderId="26" xfId="15" applyNumberFormat="1" applyFont="1" applyFill="1" applyBorder="1" applyAlignment="1">
      <alignment/>
    </xf>
    <xf numFmtId="164" fontId="1" fillId="0" borderId="13" xfId="15" applyNumberFormat="1" applyFont="1" applyFill="1" applyBorder="1" applyAlignment="1">
      <alignment/>
    </xf>
    <xf numFmtId="164" fontId="1" fillId="0" borderId="31" xfId="15" applyNumberFormat="1" applyFont="1" applyFill="1" applyBorder="1" applyAlignment="1">
      <alignment/>
    </xf>
    <xf numFmtId="164" fontId="6" fillId="0" borderId="51" xfId="15" applyNumberFormat="1" applyFont="1" applyFill="1" applyBorder="1" applyAlignment="1">
      <alignment/>
    </xf>
    <xf numFmtId="164" fontId="1" fillId="0" borderId="52" xfId="15" applyNumberFormat="1" applyFont="1" applyFill="1" applyBorder="1" applyAlignment="1">
      <alignment/>
    </xf>
    <xf numFmtId="164" fontId="1" fillId="0" borderId="0" xfId="0" applyNumberFormat="1" applyFont="1" applyFill="1" applyAlignment="1">
      <alignment/>
    </xf>
    <xf numFmtId="164" fontId="1" fillId="0" borderId="0" xfId="0" applyNumberFormat="1" applyFont="1" applyFill="1" applyBorder="1" applyAlignment="1">
      <alignment/>
    </xf>
    <xf numFmtId="0" fontId="3" fillId="0" borderId="21" xfId="0" applyFont="1" applyBorder="1" applyAlignment="1">
      <alignment vertical="center" wrapText="1"/>
    </xf>
    <xf numFmtId="164" fontId="1" fillId="0" borderId="10" xfId="15" applyNumberFormat="1" applyFont="1" applyBorder="1" applyAlignment="1">
      <alignment vertical="center"/>
    </xf>
    <xf numFmtId="164" fontId="1" fillId="0" borderId="10" xfId="15" applyNumberFormat="1" applyFont="1" applyFill="1" applyBorder="1" applyAlignment="1">
      <alignment vertical="center"/>
    </xf>
    <xf numFmtId="164" fontId="1" fillId="0" borderId="40" xfId="15" applyNumberFormat="1" applyFont="1" applyBorder="1" applyAlignment="1">
      <alignment vertical="center"/>
    </xf>
    <xf numFmtId="164" fontId="1" fillId="0" borderId="22" xfId="15" applyNumberFormat="1" applyFont="1" applyBorder="1" applyAlignment="1">
      <alignment vertical="center"/>
    </xf>
    <xf numFmtId="164" fontId="1" fillId="0" borderId="22" xfId="15" applyNumberFormat="1" applyFont="1" applyFill="1" applyBorder="1" applyAlignment="1">
      <alignment vertical="center"/>
    </xf>
    <xf numFmtId="164" fontId="1" fillId="0" borderId="12" xfId="15" applyNumberFormat="1" applyFont="1" applyBorder="1" applyAlignment="1">
      <alignment vertical="center"/>
    </xf>
    <xf numFmtId="164" fontId="1" fillId="0" borderId="55" xfId="15" applyNumberFormat="1" applyFont="1" applyBorder="1" applyAlignment="1">
      <alignment vertical="center"/>
    </xf>
    <xf numFmtId="41" fontId="1" fillId="0" borderId="0" xfId="15" applyFont="1" applyAlignment="1">
      <alignment/>
    </xf>
    <xf numFmtId="164" fontId="1" fillId="0" borderId="55" xfId="15" applyNumberFormat="1" applyFont="1" applyBorder="1" applyAlignment="1">
      <alignment/>
    </xf>
    <xf numFmtId="0" fontId="1" fillId="0" borderId="2" xfId="0" applyFont="1" applyBorder="1" applyAlignment="1">
      <alignment/>
    </xf>
    <xf numFmtId="0" fontId="1" fillId="0" borderId="17" xfId="0" applyFont="1" applyBorder="1" applyAlignment="1">
      <alignment/>
    </xf>
    <xf numFmtId="41" fontId="1" fillId="0" borderId="46" xfId="15" applyFont="1" applyBorder="1" applyAlignment="1">
      <alignment/>
    </xf>
    <xf numFmtId="0" fontId="3" fillId="0" borderId="0" xfId="0" applyFont="1" applyAlignment="1">
      <alignment horizontal="left"/>
    </xf>
    <xf numFmtId="0" fontId="3" fillId="0" borderId="0" xfId="0" applyFont="1" applyBorder="1" applyAlignment="1">
      <alignment horizontal="left" vertical="center"/>
    </xf>
    <xf numFmtId="0" fontId="1" fillId="0" borderId="0" xfId="0" applyFont="1" applyBorder="1" applyAlignment="1">
      <alignment horizontal="right"/>
    </xf>
    <xf numFmtId="0" fontId="3" fillId="0" borderId="0" xfId="0" applyFont="1" applyBorder="1" applyAlignment="1">
      <alignment horizontal="left" wrapText="1"/>
    </xf>
    <xf numFmtId="0" fontId="3" fillId="0" borderId="0" xfId="0" applyFont="1" applyFill="1" applyBorder="1" applyAlignment="1">
      <alignment horizontal="left"/>
    </xf>
    <xf numFmtId="41" fontId="1" fillId="0" borderId="7" xfId="15" applyFont="1" applyBorder="1" applyAlignment="1">
      <alignment vertical="center"/>
    </xf>
    <xf numFmtId="41" fontId="1" fillId="0" borderId="8" xfId="15" applyFont="1" applyBorder="1" applyAlignment="1">
      <alignment vertical="center"/>
    </xf>
    <xf numFmtId="0" fontId="1" fillId="0" borderId="0" xfId="0" applyFont="1" applyFill="1" applyAlignment="1">
      <alignment/>
    </xf>
    <xf numFmtId="0" fontId="3" fillId="0" borderId="0" xfId="0" applyFont="1" applyBorder="1" applyAlignment="1">
      <alignment horizontal="left" wrapText="1"/>
    </xf>
    <xf numFmtId="0" fontId="1" fillId="0" borderId="0" xfId="0" applyFont="1" applyAlignment="1">
      <alignment wrapText="1"/>
    </xf>
    <xf numFmtId="0" fontId="1" fillId="0" borderId="0" xfId="0" applyFont="1" applyFill="1" applyAlignment="1">
      <alignment wrapText="1"/>
    </xf>
    <xf numFmtId="0" fontId="1" fillId="0" borderId="13" xfId="0" applyFont="1" applyBorder="1" applyAlignment="1">
      <alignment horizontal="right"/>
    </xf>
    <xf numFmtId="0" fontId="1" fillId="0" borderId="0" xfId="0" applyFont="1" applyAlignment="1">
      <alignment horizontal="right" vertical="center"/>
    </xf>
    <xf numFmtId="0" fontId="1" fillId="0" borderId="0" xfId="0" applyFont="1" applyFill="1" applyBorder="1" applyAlignment="1">
      <alignment horizontal="right"/>
    </xf>
    <xf numFmtId="0" fontId="3" fillId="0" borderId="56" xfId="0" applyFont="1" applyBorder="1" applyAlignment="1">
      <alignment horizontal="center" wrapText="1"/>
    </xf>
    <xf numFmtId="0" fontId="3" fillId="0" borderId="49" xfId="0" applyFont="1" applyBorder="1" applyAlignment="1">
      <alignment horizontal="center"/>
    </xf>
    <xf numFmtId="0" fontId="3" fillId="0" borderId="44" xfId="0" applyFont="1" applyBorder="1" applyAlignment="1">
      <alignment horizontal="center"/>
    </xf>
    <xf numFmtId="0" fontId="3" fillId="0" borderId="39" xfId="0" applyFont="1" applyBorder="1" applyAlignment="1">
      <alignment horizontal="center"/>
    </xf>
    <xf numFmtId="164" fontId="3" fillId="0" borderId="39" xfId="15" applyNumberFormat="1" applyFont="1" applyBorder="1" applyAlignment="1">
      <alignment vertical="center"/>
    </xf>
    <xf numFmtId="164" fontId="3" fillId="0" borderId="39" xfId="15" applyNumberFormat="1" applyFont="1" applyFill="1" applyBorder="1" applyAlignment="1">
      <alignment vertical="center"/>
    </xf>
    <xf numFmtId="164" fontId="3" fillId="0" borderId="27" xfId="15" applyNumberFormat="1" applyFont="1" applyBorder="1" applyAlignment="1">
      <alignment vertical="center"/>
    </xf>
    <xf numFmtId="164" fontId="3" fillId="0" borderId="10" xfId="15" applyNumberFormat="1" applyFont="1" applyBorder="1" applyAlignment="1">
      <alignment vertical="center"/>
    </xf>
    <xf numFmtId="164" fontId="3" fillId="0" borderId="10" xfId="15" applyNumberFormat="1" applyFont="1" applyFill="1" applyBorder="1" applyAlignment="1">
      <alignment vertical="center"/>
    </xf>
    <xf numFmtId="164" fontId="3" fillId="0" borderId="40" xfId="15" applyNumberFormat="1" applyFont="1" applyBorder="1" applyAlignment="1">
      <alignment vertical="center"/>
    </xf>
    <xf numFmtId="0" fontId="4" fillId="0" borderId="33" xfId="0" applyFont="1" applyBorder="1" applyAlignment="1">
      <alignment/>
    </xf>
    <xf numFmtId="41" fontId="1" fillId="0" borderId="33" xfId="15" applyFont="1" applyBorder="1" applyAlignment="1">
      <alignment/>
    </xf>
    <xf numFmtId="41" fontId="1" fillId="0" borderId="0" xfId="15" applyFont="1" applyBorder="1" applyAlignment="1">
      <alignment horizontal="right"/>
    </xf>
    <xf numFmtId="41" fontId="3" fillId="0" borderId="23" xfId="15" applyFont="1" applyFill="1" applyBorder="1" applyAlignment="1">
      <alignment/>
    </xf>
    <xf numFmtId="41" fontId="3" fillId="0" borderId="38" xfId="15" applyFont="1" applyFill="1" applyBorder="1" applyAlignment="1">
      <alignment/>
    </xf>
    <xf numFmtId="0" fontId="3" fillId="3" borderId="6" xfId="0" applyFont="1" applyFill="1" applyBorder="1" applyAlignment="1">
      <alignment horizontal="center"/>
    </xf>
    <xf numFmtId="0" fontId="3" fillId="3" borderId="0" xfId="0" applyFont="1" applyFill="1" applyBorder="1" applyAlignment="1">
      <alignment horizontal="center"/>
    </xf>
    <xf numFmtId="0" fontId="3" fillId="3" borderId="8" xfId="0" applyFont="1" applyFill="1" applyBorder="1" applyAlignment="1">
      <alignment horizontal="center"/>
    </xf>
    <xf numFmtId="0" fontId="1" fillId="0" borderId="0" xfId="0" applyFont="1" applyBorder="1" applyAlignment="1">
      <alignment horizontal="center"/>
    </xf>
    <xf numFmtId="0" fontId="3" fillId="0" borderId="57" xfId="0" applyFont="1" applyBorder="1" applyAlignment="1">
      <alignment horizontal="center"/>
    </xf>
    <xf numFmtId="0" fontId="3" fillId="0" borderId="37" xfId="0" applyFont="1" applyBorder="1" applyAlignment="1">
      <alignment horizontal="center"/>
    </xf>
    <xf numFmtId="0" fontId="3" fillId="0" borderId="0" xfId="0" applyFont="1" applyAlignment="1">
      <alignment vertical="top" wrapText="1"/>
    </xf>
    <xf numFmtId="0" fontId="1" fillId="0" borderId="0" xfId="0" applyFont="1" applyAlignment="1">
      <alignment/>
    </xf>
    <xf numFmtId="4" fontId="6" fillId="0" borderId="0" xfId="0" applyNumberFormat="1" applyFont="1" applyBorder="1" applyAlignment="1">
      <alignment horizontal="center" vertical="center" wrapText="1"/>
    </xf>
    <xf numFmtId="4" fontId="6" fillId="0" borderId="20" xfId="0" applyNumberFormat="1" applyFont="1" applyBorder="1" applyAlignment="1">
      <alignment horizontal="center" vertical="center" wrapText="1"/>
    </xf>
    <xf numFmtId="4" fontId="6" fillId="0" borderId="58" xfId="0" applyNumberFormat="1" applyFont="1" applyBorder="1" applyAlignment="1">
      <alignment horizontal="center" vertical="center" wrapText="1"/>
    </xf>
    <xf numFmtId="4" fontId="6" fillId="0" borderId="43" xfId="0" applyNumberFormat="1" applyFont="1" applyBorder="1" applyAlignment="1">
      <alignment horizontal="center" vertical="center" wrapText="1"/>
    </xf>
    <xf numFmtId="3" fontId="3" fillId="0" borderId="0" xfId="0" applyNumberFormat="1" applyFont="1" applyBorder="1" applyAlignment="1">
      <alignment horizontal="left" wrapText="1"/>
    </xf>
    <xf numFmtId="3" fontId="3" fillId="0" borderId="0" xfId="0" applyNumberFormat="1" applyFont="1" applyBorder="1" applyAlignment="1">
      <alignment horizontal="center"/>
    </xf>
    <xf numFmtId="3" fontId="3" fillId="0" borderId="0" xfId="0" applyNumberFormat="1"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1" fillId="0" borderId="0" xfId="0" applyFont="1" applyBorder="1" applyAlignment="1">
      <alignment horizontal="right"/>
    </xf>
    <xf numFmtId="164" fontId="1" fillId="0" borderId="0" xfId="0" applyNumberFormat="1" applyFont="1" applyBorder="1" applyAlignment="1">
      <alignment horizontal="right"/>
    </xf>
    <xf numFmtId="0" fontId="3" fillId="0" borderId="59" xfId="0" applyFont="1" applyBorder="1" applyAlignment="1">
      <alignment horizontal="center"/>
    </xf>
    <xf numFmtId="0" fontId="3" fillId="0" borderId="15" xfId="0" applyFont="1" applyBorder="1" applyAlignment="1">
      <alignment horizontal="center"/>
    </xf>
    <xf numFmtId="0" fontId="3" fillId="0" borderId="60"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left"/>
    </xf>
    <xf numFmtId="0" fontId="4" fillId="0" borderId="0" xfId="0" applyFont="1" applyAlignment="1">
      <alignment horizontal="left" vertical="center" wrapText="1"/>
    </xf>
    <xf numFmtId="0" fontId="3" fillId="0" borderId="6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Border="1" applyAlignment="1">
      <alignment wrapText="1"/>
    </xf>
    <xf numFmtId="0" fontId="3" fillId="0" borderId="0" xfId="0" applyFont="1" applyFill="1" applyBorder="1" applyAlignment="1">
      <alignment horizontal="left"/>
    </xf>
    <xf numFmtId="0" fontId="3" fillId="0" borderId="2" xfId="0" applyFont="1" applyBorder="1" applyAlignment="1">
      <alignment horizontal="center" vertical="center"/>
    </xf>
    <xf numFmtId="0" fontId="3" fillId="0" borderId="17" xfId="0" applyFont="1" applyBorder="1" applyAlignment="1">
      <alignment horizontal="center"/>
    </xf>
    <xf numFmtId="0" fontId="3" fillId="0" borderId="28"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19"/>
  <sheetViews>
    <sheetView workbookViewId="0" topLeftCell="A1">
      <selection activeCell="C14" sqref="C14"/>
    </sheetView>
  </sheetViews>
  <sheetFormatPr defaultColWidth="9.140625" defaultRowHeight="12.75"/>
  <cols>
    <col min="1" max="1" width="7.140625" style="203" bestFit="1" customWidth="1"/>
    <col min="2" max="2" width="52.00390625" style="203" bestFit="1" customWidth="1"/>
    <col min="3" max="4" width="14.28125" style="203" bestFit="1" customWidth="1"/>
    <col min="5" max="5" width="19.57421875" style="203" bestFit="1" customWidth="1"/>
    <col min="6" max="6" width="9.7109375" style="203" bestFit="1" customWidth="1"/>
    <col min="7" max="7" width="8.8515625" style="203" bestFit="1" customWidth="1"/>
    <col min="8" max="8" width="6.7109375" style="203" bestFit="1" customWidth="1"/>
    <col min="9" max="9" width="23.00390625" style="203" bestFit="1" customWidth="1"/>
    <col min="10" max="10" width="4.421875" style="203" bestFit="1" customWidth="1"/>
    <col min="11" max="11" width="15.421875" style="203" bestFit="1" customWidth="1"/>
    <col min="12" max="12" width="5.57421875" style="203" bestFit="1" customWidth="1"/>
    <col min="13" max="13" width="6.8515625" style="203" bestFit="1" customWidth="1"/>
    <col min="14" max="14" width="2.57421875" style="203" bestFit="1" customWidth="1"/>
    <col min="15" max="15" width="9.140625" style="203" customWidth="1"/>
    <col min="16" max="16" width="10.140625" style="203" bestFit="1" customWidth="1"/>
    <col min="17" max="16384" width="9.140625" style="203" customWidth="1"/>
  </cols>
  <sheetData>
    <row r="1" spans="1:9" ht="15.75">
      <c r="A1" s="351" t="s">
        <v>2</v>
      </c>
      <c r="B1" s="351"/>
      <c r="C1" s="351"/>
      <c r="D1" s="351"/>
      <c r="E1" s="351"/>
      <c r="F1" s="351"/>
      <c r="G1" s="351"/>
      <c r="H1" s="351"/>
      <c r="I1" s="352"/>
    </row>
    <row r="2" spans="1:9" ht="15.75">
      <c r="A2" s="353"/>
      <c r="B2" s="353"/>
      <c r="C2" s="353"/>
      <c r="D2" s="353"/>
      <c r="E2" s="353"/>
      <c r="F2" s="353"/>
      <c r="G2" s="353"/>
      <c r="H2" s="353"/>
      <c r="I2" s="354"/>
    </row>
    <row r="3" spans="1:9" ht="31.5">
      <c r="A3" s="204" t="s">
        <v>3</v>
      </c>
      <c r="B3" s="204" t="s">
        <v>4</v>
      </c>
      <c r="C3" s="204" t="s">
        <v>5</v>
      </c>
      <c r="D3" s="204" t="s">
        <v>6</v>
      </c>
      <c r="E3" s="204" t="s">
        <v>374</v>
      </c>
      <c r="F3" s="205" t="s">
        <v>7</v>
      </c>
      <c r="G3" s="204" t="s">
        <v>8</v>
      </c>
      <c r="H3" s="206" t="s">
        <v>9</v>
      </c>
      <c r="I3" s="204" t="s">
        <v>10</v>
      </c>
    </row>
    <row r="4" spans="1:9" ht="15.75">
      <c r="A4" s="204"/>
      <c r="B4" s="204"/>
      <c r="C4" s="204"/>
      <c r="D4" s="204"/>
      <c r="E4" s="204"/>
      <c r="F4" s="205"/>
      <c r="G4" s="204"/>
      <c r="H4" s="206"/>
      <c r="I4" s="204"/>
    </row>
    <row r="5" spans="1:12" ht="15.75">
      <c r="A5" s="207">
        <v>1</v>
      </c>
      <c r="B5" s="208" t="s">
        <v>11</v>
      </c>
      <c r="C5" s="209">
        <v>32770536</v>
      </c>
      <c r="D5" s="209">
        <v>0</v>
      </c>
      <c r="E5" s="210">
        <f>SUM(C5:D5)</f>
        <v>32770536</v>
      </c>
      <c r="F5" s="205" t="s">
        <v>815</v>
      </c>
      <c r="G5" s="204"/>
      <c r="H5" s="206"/>
      <c r="I5" s="204"/>
      <c r="L5" s="208"/>
    </row>
    <row r="6" spans="1:12" ht="15.75">
      <c r="A6" s="207">
        <v>2</v>
      </c>
      <c r="B6" s="208" t="s">
        <v>15</v>
      </c>
      <c r="C6" s="209">
        <v>1843757</v>
      </c>
      <c r="D6" s="209">
        <v>0</v>
      </c>
      <c r="E6" s="210">
        <f aca="true" t="shared" si="0" ref="E6:E22">SUM(C6:D6)</f>
        <v>1843757</v>
      </c>
      <c r="F6" s="205" t="s">
        <v>815</v>
      </c>
      <c r="G6" s="204"/>
      <c r="H6" s="206"/>
      <c r="I6" s="204"/>
      <c r="L6" s="208"/>
    </row>
    <row r="7" spans="1:12" ht="15.75">
      <c r="A7" s="207">
        <v>4</v>
      </c>
      <c r="B7" s="208" t="s">
        <v>16</v>
      </c>
      <c r="C7" s="209">
        <v>179673</v>
      </c>
      <c r="D7" s="209">
        <v>0</v>
      </c>
      <c r="E7" s="210">
        <f t="shared" si="0"/>
        <v>179673</v>
      </c>
      <c r="F7" s="205" t="s">
        <v>815</v>
      </c>
      <c r="G7" s="204"/>
      <c r="H7" s="206"/>
      <c r="I7" s="204"/>
      <c r="L7" s="208"/>
    </row>
    <row r="8" spans="1:12" ht="15.75">
      <c r="A8" s="207">
        <v>5</v>
      </c>
      <c r="B8" s="208" t="s">
        <v>17</v>
      </c>
      <c r="C8" s="209">
        <v>1127708</v>
      </c>
      <c r="D8" s="209">
        <v>0</v>
      </c>
      <c r="E8" s="210">
        <f t="shared" si="0"/>
        <v>1127708</v>
      </c>
      <c r="F8" s="205" t="s">
        <v>815</v>
      </c>
      <c r="G8" s="204"/>
      <c r="H8" s="206"/>
      <c r="I8" s="204"/>
      <c r="L8" s="208"/>
    </row>
    <row r="9" spans="1:12" ht="15.75">
      <c r="A9" s="207">
        <v>7</v>
      </c>
      <c r="B9" s="208" t="s">
        <v>817</v>
      </c>
      <c r="C9" s="209">
        <v>4377693</v>
      </c>
      <c r="D9" s="209">
        <v>0</v>
      </c>
      <c r="E9" s="210">
        <f t="shared" si="0"/>
        <v>4377693</v>
      </c>
      <c r="F9" s="205" t="s">
        <v>815</v>
      </c>
      <c r="G9" s="204"/>
      <c r="H9" s="206"/>
      <c r="I9" s="204"/>
      <c r="L9" s="208"/>
    </row>
    <row r="10" spans="1:12" ht="15.75">
      <c r="A10" s="207">
        <v>8</v>
      </c>
      <c r="B10" s="208" t="s">
        <v>818</v>
      </c>
      <c r="C10" s="209">
        <v>8571364</v>
      </c>
      <c r="D10" s="209">
        <v>0</v>
      </c>
      <c r="E10" s="210">
        <f t="shared" si="0"/>
        <v>8571364</v>
      </c>
      <c r="F10" s="205" t="s">
        <v>815</v>
      </c>
      <c r="G10" s="204"/>
      <c r="H10" s="206"/>
      <c r="I10" s="204"/>
      <c r="L10" s="208"/>
    </row>
    <row r="11" spans="1:12" ht="15.75">
      <c r="A11" s="207">
        <v>10</v>
      </c>
      <c r="B11" s="208" t="s">
        <v>18</v>
      </c>
      <c r="C11" s="209">
        <v>864434</v>
      </c>
      <c r="D11" s="209">
        <v>0</v>
      </c>
      <c r="E11" s="210">
        <f t="shared" si="0"/>
        <v>864434</v>
      </c>
      <c r="F11" s="205" t="s">
        <v>815</v>
      </c>
      <c r="G11" s="204"/>
      <c r="H11" s="206"/>
      <c r="I11" s="204"/>
      <c r="L11" s="208"/>
    </row>
    <row r="12" spans="1:12" ht="15.75">
      <c r="A12" s="207">
        <v>12</v>
      </c>
      <c r="B12" s="208" t="s">
        <v>19</v>
      </c>
      <c r="C12" s="209">
        <v>412759</v>
      </c>
      <c r="D12" s="209">
        <v>0</v>
      </c>
      <c r="E12" s="210">
        <f t="shared" si="0"/>
        <v>412759</v>
      </c>
      <c r="F12" s="205" t="s">
        <v>815</v>
      </c>
      <c r="G12" s="204"/>
      <c r="H12" s="206"/>
      <c r="I12" s="204"/>
      <c r="L12" s="208"/>
    </row>
    <row r="13" spans="1:12" ht="15.75">
      <c r="A13" s="207">
        <v>13</v>
      </c>
      <c r="B13" s="208" t="s">
        <v>20</v>
      </c>
      <c r="C13" s="209">
        <v>254272</v>
      </c>
      <c r="D13" s="209">
        <v>0</v>
      </c>
      <c r="E13" s="210">
        <f t="shared" si="0"/>
        <v>254272</v>
      </c>
      <c r="F13" s="205" t="s">
        <v>815</v>
      </c>
      <c r="G13" s="204"/>
      <c r="H13" s="206"/>
      <c r="I13" s="204"/>
      <c r="L13" s="208"/>
    </row>
    <row r="14" spans="1:12" ht="15.75">
      <c r="A14" s="207">
        <v>14</v>
      </c>
      <c r="B14" s="208" t="s">
        <v>21</v>
      </c>
      <c r="C14" s="209">
        <v>38100</v>
      </c>
      <c r="D14" s="209">
        <v>0</v>
      </c>
      <c r="E14" s="210">
        <f t="shared" si="0"/>
        <v>38100</v>
      </c>
      <c r="F14" s="205" t="s">
        <v>815</v>
      </c>
      <c r="G14" s="204"/>
      <c r="H14" s="206"/>
      <c r="I14" s="204"/>
      <c r="L14" s="208"/>
    </row>
    <row r="15" spans="1:14" ht="15.75">
      <c r="A15" s="207">
        <v>16</v>
      </c>
      <c r="B15" s="208" t="s">
        <v>819</v>
      </c>
      <c r="C15" s="209">
        <v>46416</v>
      </c>
      <c r="D15" s="209">
        <v>0</v>
      </c>
      <c r="E15" s="210">
        <f t="shared" si="0"/>
        <v>46416</v>
      </c>
      <c r="F15" s="205" t="s">
        <v>815</v>
      </c>
      <c r="G15" s="204"/>
      <c r="H15" s="206"/>
      <c r="I15" s="204"/>
      <c r="L15" s="208">
        <v>15</v>
      </c>
      <c r="M15" s="211">
        <f>+A15-L15</f>
        <v>1</v>
      </c>
      <c r="N15" s="203" t="s">
        <v>832</v>
      </c>
    </row>
    <row r="16" spans="1:12" ht="15.75">
      <c r="A16" s="207">
        <v>18</v>
      </c>
      <c r="B16" s="208" t="s">
        <v>25</v>
      </c>
      <c r="C16" s="209">
        <v>514634</v>
      </c>
      <c r="D16" s="209">
        <v>0</v>
      </c>
      <c r="E16" s="210">
        <f t="shared" si="0"/>
        <v>514634</v>
      </c>
      <c r="F16" s="205" t="s">
        <v>815</v>
      </c>
      <c r="G16" s="204"/>
      <c r="H16" s="206"/>
      <c r="I16" s="204"/>
      <c r="L16" s="208"/>
    </row>
    <row r="17" spans="1:14" ht="15.75">
      <c r="A17" s="207">
        <v>19</v>
      </c>
      <c r="B17" s="208" t="s">
        <v>26</v>
      </c>
      <c r="C17" s="209">
        <v>12941602</v>
      </c>
      <c r="D17" s="209">
        <v>0</v>
      </c>
      <c r="E17" s="210">
        <f t="shared" si="0"/>
        <v>12941602</v>
      </c>
      <c r="F17" s="205" t="s">
        <v>815</v>
      </c>
      <c r="G17" s="204"/>
      <c r="H17" s="206"/>
      <c r="I17" s="204"/>
      <c r="L17" s="208">
        <v>17</v>
      </c>
      <c r="M17" s="211">
        <f>+L17-A16</f>
        <v>-1</v>
      </c>
      <c r="N17" s="203" t="s">
        <v>832</v>
      </c>
    </row>
    <row r="18" spans="1:12" ht="15.75">
      <c r="A18" s="207">
        <v>21</v>
      </c>
      <c r="B18" s="208" t="s">
        <v>27</v>
      </c>
      <c r="C18" s="209">
        <v>15900</v>
      </c>
      <c r="D18" s="209">
        <v>0</v>
      </c>
      <c r="E18" s="210">
        <f t="shared" si="0"/>
        <v>15900</v>
      </c>
      <c r="F18" s="205" t="s">
        <v>815</v>
      </c>
      <c r="G18" s="204"/>
      <c r="H18" s="206"/>
      <c r="I18" s="204"/>
      <c r="L18" s="208">
        <v>18</v>
      </c>
    </row>
    <row r="19" spans="1:12" ht="15.75">
      <c r="A19" s="207">
        <v>22</v>
      </c>
      <c r="B19" s="208" t="s">
        <v>820</v>
      </c>
      <c r="C19" s="209">
        <v>37817</v>
      </c>
      <c r="D19" s="209">
        <v>0</v>
      </c>
      <c r="E19" s="210">
        <f t="shared" si="0"/>
        <v>37817</v>
      </c>
      <c r="F19" s="205" t="s">
        <v>815</v>
      </c>
      <c r="G19" s="204"/>
      <c r="H19" s="206"/>
      <c r="I19" s="204"/>
      <c r="L19" s="208">
        <v>19</v>
      </c>
    </row>
    <row r="20" spans="1:12" ht="15.75">
      <c r="A20" s="207">
        <v>23</v>
      </c>
      <c r="B20" s="208" t="s">
        <v>821</v>
      </c>
      <c r="C20" s="209">
        <v>422505</v>
      </c>
      <c r="D20" s="209">
        <v>0</v>
      </c>
      <c r="E20" s="210">
        <f t="shared" si="0"/>
        <v>422505</v>
      </c>
      <c r="F20" s="205" t="s">
        <v>815</v>
      </c>
      <c r="G20" s="204"/>
      <c r="H20" s="206"/>
      <c r="I20" s="204"/>
      <c r="L20" s="208">
        <v>21</v>
      </c>
    </row>
    <row r="21" spans="1:12" ht="15.75">
      <c r="A21" s="207">
        <v>24</v>
      </c>
      <c r="B21" s="208" t="s">
        <v>822</v>
      </c>
      <c r="C21" s="209">
        <v>41349</v>
      </c>
      <c r="D21" s="209">
        <v>0</v>
      </c>
      <c r="E21" s="210">
        <f t="shared" si="0"/>
        <v>41349</v>
      </c>
      <c r="F21" s="205" t="s">
        <v>815</v>
      </c>
      <c r="G21" s="204"/>
      <c r="H21" s="206"/>
      <c r="I21" s="204"/>
      <c r="L21" s="208">
        <v>23</v>
      </c>
    </row>
    <row r="22" spans="1:12" ht="15.75">
      <c r="A22" s="207">
        <v>25</v>
      </c>
      <c r="B22" s="208" t="s">
        <v>823</v>
      </c>
      <c r="C22" s="209">
        <v>18602062</v>
      </c>
      <c r="D22" s="209">
        <v>0</v>
      </c>
      <c r="E22" s="210">
        <f t="shared" si="0"/>
        <v>18602062</v>
      </c>
      <c r="F22" s="205" t="s">
        <v>815</v>
      </c>
      <c r="G22" s="204"/>
      <c r="H22" s="206"/>
      <c r="I22" s="204"/>
      <c r="L22" s="208">
        <v>24</v>
      </c>
    </row>
    <row r="23" spans="1:12" ht="15.75">
      <c r="A23" s="212">
        <v>27</v>
      </c>
      <c r="B23" s="213" t="s">
        <v>28</v>
      </c>
      <c r="C23" s="209">
        <v>71724917</v>
      </c>
      <c r="D23" s="209">
        <v>0</v>
      </c>
      <c r="E23" s="214">
        <f>+C23-D23</f>
        <v>71724917</v>
      </c>
      <c r="F23" s="213" t="s">
        <v>222</v>
      </c>
      <c r="G23" s="213" t="s">
        <v>29</v>
      </c>
      <c r="H23" s="213" t="s">
        <v>23</v>
      </c>
      <c r="I23" s="213" t="s">
        <v>30</v>
      </c>
      <c r="L23" s="208">
        <v>25</v>
      </c>
    </row>
    <row r="24" spans="1:12" ht="15.75">
      <c r="A24" s="212">
        <v>30</v>
      </c>
      <c r="B24" s="213" t="s">
        <v>31</v>
      </c>
      <c r="C24" s="209">
        <v>125000</v>
      </c>
      <c r="D24" s="209">
        <v>0</v>
      </c>
      <c r="E24" s="215">
        <f aca="true" t="shared" si="1" ref="E24:E129">+C24-D24</f>
        <v>125000</v>
      </c>
      <c r="F24" s="213" t="s">
        <v>222</v>
      </c>
      <c r="G24" s="213" t="s">
        <v>32</v>
      </c>
      <c r="H24" s="213" t="s">
        <v>13</v>
      </c>
      <c r="I24" s="213" t="s">
        <v>33</v>
      </c>
      <c r="L24" s="208">
        <v>27</v>
      </c>
    </row>
    <row r="25" spans="1:12" ht="15.75">
      <c r="A25" s="207">
        <v>38</v>
      </c>
      <c r="B25" s="208" t="s">
        <v>34</v>
      </c>
      <c r="C25" s="209">
        <v>146541</v>
      </c>
      <c r="D25" s="209">
        <v>0</v>
      </c>
      <c r="E25" s="216">
        <f t="shared" si="1"/>
        <v>146541</v>
      </c>
      <c r="F25" s="213" t="s">
        <v>815</v>
      </c>
      <c r="G25" s="213"/>
      <c r="H25" s="213"/>
      <c r="I25" s="213"/>
      <c r="L25" s="208">
        <v>30</v>
      </c>
    </row>
    <row r="26" spans="1:12" ht="15.75">
      <c r="A26" s="207">
        <v>39</v>
      </c>
      <c r="B26" s="208" t="s">
        <v>35</v>
      </c>
      <c r="C26" s="209">
        <v>95760</v>
      </c>
      <c r="D26" s="209">
        <v>0</v>
      </c>
      <c r="E26" s="216">
        <f t="shared" si="1"/>
        <v>95760</v>
      </c>
      <c r="F26" s="213" t="s">
        <v>815</v>
      </c>
      <c r="G26" s="213"/>
      <c r="H26" s="213"/>
      <c r="I26" s="213"/>
      <c r="L26" s="208">
        <v>38</v>
      </c>
    </row>
    <row r="27" spans="1:12" ht="15.75">
      <c r="A27" s="207">
        <v>40</v>
      </c>
      <c r="B27" s="208" t="s">
        <v>824</v>
      </c>
      <c r="C27" s="209">
        <v>737961</v>
      </c>
      <c r="D27" s="209">
        <v>0</v>
      </c>
      <c r="E27" s="217">
        <f t="shared" si="1"/>
        <v>737961</v>
      </c>
      <c r="F27" s="213" t="s">
        <v>815</v>
      </c>
      <c r="G27" s="213"/>
      <c r="H27" s="213"/>
      <c r="I27" s="213"/>
      <c r="L27" s="208">
        <v>39</v>
      </c>
    </row>
    <row r="28" spans="1:12" ht="15.75">
      <c r="A28" s="207">
        <v>41</v>
      </c>
      <c r="B28" s="208" t="s">
        <v>825</v>
      </c>
      <c r="C28" s="209">
        <v>64620</v>
      </c>
      <c r="D28" s="209">
        <v>0</v>
      </c>
      <c r="E28" s="216">
        <f t="shared" si="1"/>
        <v>64620</v>
      </c>
      <c r="F28" s="213" t="s">
        <v>815</v>
      </c>
      <c r="G28" s="213"/>
      <c r="H28" s="213"/>
      <c r="I28" s="213"/>
      <c r="L28" s="208">
        <v>40</v>
      </c>
    </row>
    <row r="29" spans="1:12" ht="15.75">
      <c r="A29" s="207">
        <v>42</v>
      </c>
      <c r="B29" s="208" t="s">
        <v>36</v>
      </c>
      <c r="C29" s="209">
        <f>19144738-12623</f>
        <v>19132115</v>
      </c>
      <c r="D29" s="209">
        <v>0</v>
      </c>
      <c r="E29" s="216">
        <f t="shared" si="1"/>
        <v>19132115</v>
      </c>
      <c r="F29" s="213" t="s">
        <v>815</v>
      </c>
      <c r="G29" s="213"/>
      <c r="H29" s="213"/>
      <c r="I29" s="213"/>
      <c r="L29" s="208">
        <v>41</v>
      </c>
    </row>
    <row r="30" spans="1:12" ht="15.75">
      <c r="A30" s="207">
        <v>43</v>
      </c>
      <c r="B30" s="208" t="s">
        <v>39</v>
      </c>
      <c r="C30" s="209">
        <v>25845810</v>
      </c>
      <c r="D30" s="209">
        <v>0</v>
      </c>
      <c r="E30" s="216">
        <f t="shared" si="1"/>
        <v>25845810</v>
      </c>
      <c r="F30" s="213" t="s">
        <v>815</v>
      </c>
      <c r="G30" s="213"/>
      <c r="H30" s="213"/>
      <c r="I30" s="213"/>
      <c r="L30" s="208">
        <v>42</v>
      </c>
    </row>
    <row r="31" spans="1:12" ht="15.75">
      <c r="A31" s="207">
        <v>47</v>
      </c>
      <c r="B31" s="208" t="s">
        <v>40</v>
      </c>
      <c r="C31" s="209">
        <v>85679</v>
      </c>
      <c r="D31" s="209">
        <v>0</v>
      </c>
      <c r="E31" s="216">
        <f t="shared" si="1"/>
        <v>85679</v>
      </c>
      <c r="F31" s="213" t="s">
        <v>815</v>
      </c>
      <c r="G31" s="213"/>
      <c r="H31" s="213"/>
      <c r="I31" s="213"/>
      <c r="L31" s="208">
        <v>43</v>
      </c>
    </row>
    <row r="32" spans="1:14" ht="15.75">
      <c r="A32" s="207">
        <v>48</v>
      </c>
      <c r="B32" s="208" t="s">
        <v>41</v>
      </c>
      <c r="C32" s="209">
        <v>1402762</v>
      </c>
      <c r="D32" s="209">
        <v>0</v>
      </c>
      <c r="E32" s="216">
        <f t="shared" si="1"/>
        <v>1402762</v>
      </c>
      <c r="F32" s="213" t="s">
        <v>815</v>
      </c>
      <c r="G32" s="213"/>
      <c r="H32" s="213"/>
      <c r="I32" s="213"/>
      <c r="L32" s="208">
        <v>44</v>
      </c>
      <c r="M32" s="211">
        <f>+L32-A31</f>
        <v>-3</v>
      </c>
      <c r="N32" s="203" t="s">
        <v>832</v>
      </c>
    </row>
    <row r="33" spans="1:12" ht="15.75">
      <c r="A33" s="207">
        <v>49</v>
      </c>
      <c r="B33" s="208" t="s">
        <v>43</v>
      </c>
      <c r="C33" s="209">
        <v>390494</v>
      </c>
      <c r="D33" s="209">
        <v>0</v>
      </c>
      <c r="E33" s="216">
        <f t="shared" si="1"/>
        <v>390494</v>
      </c>
      <c r="F33" s="213" t="s">
        <v>815</v>
      </c>
      <c r="G33" s="213"/>
      <c r="H33" s="213"/>
      <c r="I33" s="213"/>
      <c r="L33" s="208">
        <v>47</v>
      </c>
    </row>
    <row r="34" spans="1:12" ht="15.75">
      <c r="A34" s="207">
        <v>52</v>
      </c>
      <c r="B34" s="208" t="s">
        <v>826</v>
      </c>
      <c r="C34" s="209">
        <v>0</v>
      </c>
      <c r="D34" s="209">
        <v>39</v>
      </c>
      <c r="E34" s="216">
        <f t="shared" si="1"/>
        <v>-39</v>
      </c>
      <c r="F34" s="213" t="s">
        <v>815</v>
      </c>
      <c r="G34" s="213"/>
      <c r="H34" s="213"/>
      <c r="I34" s="213"/>
      <c r="L34" s="208">
        <v>48</v>
      </c>
    </row>
    <row r="35" spans="1:12" ht="15.75">
      <c r="A35" s="207">
        <v>57</v>
      </c>
      <c r="B35" s="208" t="s">
        <v>45</v>
      </c>
      <c r="C35" s="209">
        <v>136396</v>
      </c>
      <c r="D35" s="209">
        <v>0</v>
      </c>
      <c r="E35" s="216">
        <f t="shared" si="1"/>
        <v>136396</v>
      </c>
      <c r="F35" s="213" t="s">
        <v>815</v>
      </c>
      <c r="G35" s="213"/>
      <c r="H35" s="213"/>
      <c r="I35" s="213"/>
      <c r="L35" s="208">
        <v>49</v>
      </c>
    </row>
    <row r="36" spans="1:12" ht="15.75">
      <c r="A36" s="207">
        <v>58</v>
      </c>
      <c r="B36" s="208" t="s">
        <v>46</v>
      </c>
      <c r="C36" s="209">
        <v>367199</v>
      </c>
      <c r="D36" s="209">
        <v>0</v>
      </c>
      <c r="E36" s="216">
        <f t="shared" si="1"/>
        <v>367199</v>
      </c>
      <c r="F36" s="213" t="s">
        <v>815</v>
      </c>
      <c r="G36" s="213"/>
      <c r="H36" s="213"/>
      <c r="I36" s="213"/>
      <c r="L36" s="208">
        <v>52</v>
      </c>
    </row>
    <row r="37" spans="1:12" ht="15.75">
      <c r="A37" s="207">
        <v>60</v>
      </c>
      <c r="B37" s="208" t="s">
        <v>47</v>
      </c>
      <c r="C37" s="209">
        <v>30969</v>
      </c>
      <c r="D37" s="209">
        <v>0</v>
      </c>
      <c r="E37" s="216">
        <f t="shared" si="1"/>
        <v>30969</v>
      </c>
      <c r="F37" s="213" t="s">
        <v>815</v>
      </c>
      <c r="G37" s="213"/>
      <c r="H37" s="213"/>
      <c r="I37" s="213"/>
      <c r="L37" s="208">
        <v>57</v>
      </c>
    </row>
    <row r="38" spans="1:12" ht="15.75">
      <c r="A38" s="207">
        <v>62</v>
      </c>
      <c r="B38" s="208" t="s">
        <v>48</v>
      </c>
      <c r="C38" s="209">
        <v>131506</v>
      </c>
      <c r="D38" s="209">
        <v>0</v>
      </c>
      <c r="E38" s="216">
        <f t="shared" si="1"/>
        <v>131506</v>
      </c>
      <c r="F38" s="213" t="s">
        <v>815</v>
      </c>
      <c r="G38" s="213"/>
      <c r="H38" s="213"/>
      <c r="I38" s="213"/>
      <c r="L38" s="208">
        <v>58</v>
      </c>
    </row>
    <row r="39" spans="1:12" ht="15.75">
      <c r="A39" s="207">
        <v>64</v>
      </c>
      <c r="B39" s="208" t="s">
        <v>49</v>
      </c>
      <c r="C39" s="209">
        <v>2611745</v>
      </c>
      <c r="D39" s="209">
        <v>0</v>
      </c>
      <c r="E39" s="216">
        <f t="shared" si="1"/>
        <v>2611745</v>
      </c>
      <c r="F39" s="213" t="s">
        <v>815</v>
      </c>
      <c r="G39" s="213"/>
      <c r="H39" s="213"/>
      <c r="I39" s="213"/>
      <c r="L39" s="208">
        <v>60</v>
      </c>
    </row>
    <row r="40" spans="1:12" ht="15.75">
      <c r="A40" s="207">
        <v>66</v>
      </c>
      <c r="B40" s="208" t="s">
        <v>827</v>
      </c>
      <c r="C40" s="209">
        <v>485778</v>
      </c>
      <c r="D40" s="209">
        <v>0</v>
      </c>
      <c r="E40" s="216">
        <f t="shared" si="1"/>
        <v>485778</v>
      </c>
      <c r="F40" s="213" t="s">
        <v>815</v>
      </c>
      <c r="G40" s="213"/>
      <c r="H40" s="213"/>
      <c r="I40" s="213"/>
      <c r="L40" s="208">
        <v>62</v>
      </c>
    </row>
    <row r="41" spans="1:12" ht="15.75">
      <c r="A41" s="207">
        <v>69</v>
      </c>
      <c r="B41" s="208" t="s">
        <v>48</v>
      </c>
      <c r="C41" s="209">
        <v>18000</v>
      </c>
      <c r="D41" s="209">
        <v>0</v>
      </c>
      <c r="E41" s="216">
        <f t="shared" si="1"/>
        <v>18000</v>
      </c>
      <c r="F41" s="213" t="s">
        <v>815</v>
      </c>
      <c r="G41" s="213"/>
      <c r="H41" s="213"/>
      <c r="I41" s="213"/>
      <c r="L41" s="208">
        <v>64</v>
      </c>
    </row>
    <row r="42" spans="1:12" ht="15.75">
      <c r="A42" s="207">
        <v>72</v>
      </c>
      <c r="B42" s="208" t="s">
        <v>50</v>
      </c>
      <c r="C42" s="209">
        <v>719083</v>
      </c>
      <c r="D42" s="209">
        <v>0</v>
      </c>
      <c r="E42" s="216">
        <f t="shared" si="1"/>
        <v>719083</v>
      </c>
      <c r="F42" s="213" t="s">
        <v>815</v>
      </c>
      <c r="G42" s="213"/>
      <c r="H42" s="213"/>
      <c r="I42" s="213"/>
      <c r="L42" s="208">
        <v>66</v>
      </c>
    </row>
    <row r="43" spans="1:12" ht="15.75">
      <c r="A43" s="207">
        <v>73</v>
      </c>
      <c r="B43" s="208" t="s">
        <v>51</v>
      </c>
      <c r="C43" s="209">
        <v>45000</v>
      </c>
      <c r="D43" s="209">
        <v>0</v>
      </c>
      <c r="E43" s="216">
        <f t="shared" si="1"/>
        <v>45000</v>
      </c>
      <c r="F43" s="213" t="s">
        <v>815</v>
      </c>
      <c r="G43" s="213"/>
      <c r="H43" s="213"/>
      <c r="I43" s="213"/>
      <c r="L43" s="208">
        <v>69</v>
      </c>
    </row>
    <row r="44" spans="1:12" ht="15.75">
      <c r="A44" s="207">
        <v>75</v>
      </c>
      <c r="B44" s="208" t="s">
        <v>53</v>
      </c>
      <c r="C44" s="209">
        <v>6669195</v>
      </c>
      <c r="D44" s="209">
        <v>0</v>
      </c>
      <c r="E44" s="216">
        <f t="shared" si="1"/>
        <v>6669195</v>
      </c>
      <c r="F44" s="213" t="s">
        <v>815</v>
      </c>
      <c r="G44" s="213"/>
      <c r="H44" s="213"/>
      <c r="I44" s="213"/>
      <c r="L44" s="208">
        <v>72</v>
      </c>
    </row>
    <row r="45" spans="1:12" ht="15.75">
      <c r="A45" s="207">
        <v>76</v>
      </c>
      <c r="B45" s="208" t="s">
        <v>828</v>
      </c>
      <c r="C45" s="209">
        <v>1820809</v>
      </c>
      <c r="D45" s="209">
        <v>0</v>
      </c>
      <c r="E45" s="216">
        <f t="shared" si="1"/>
        <v>1820809</v>
      </c>
      <c r="F45" s="213" t="s">
        <v>815</v>
      </c>
      <c r="G45" s="213"/>
      <c r="H45" s="213"/>
      <c r="I45" s="213"/>
      <c r="L45" s="208">
        <v>73</v>
      </c>
    </row>
    <row r="46" spans="1:12" ht="15.75">
      <c r="A46" s="207">
        <v>79</v>
      </c>
      <c r="B46" s="208" t="s">
        <v>54</v>
      </c>
      <c r="C46" s="209">
        <v>2271259</v>
      </c>
      <c r="D46" s="209">
        <v>0</v>
      </c>
      <c r="E46" s="216">
        <f t="shared" si="1"/>
        <v>2271259</v>
      </c>
      <c r="F46" s="213" t="s">
        <v>815</v>
      </c>
      <c r="G46" s="213"/>
      <c r="H46" s="213"/>
      <c r="I46" s="213"/>
      <c r="L46" s="208">
        <v>75</v>
      </c>
    </row>
    <row r="47" spans="1:12" ht="15.75">
      <c r="A47" s="207">
        <v>88</v>
      </c>
      <c r="B47" s="208" t="s">
        <v>55</v>
      </c>
      <c r="C47" s="209">
        <v>769140</v>
      </c>
      <c r="D47" s="209">
        <v>0</v>
      </c>
      <c r="E47" s="216">
        <f t="shared" si="1"/>
        <v>769140</v>
      </c>
      <c r="F47" s="213" t="s">
        <v>815</v>
      </c>
      <c r="G47" s="213"/>
      <c r="H47" s="213"/>
      <c r="I47" s="213"/>
      <c r="L47" s="208">
        <v>76</v>
      </c>
    </row>
    <row r="48" spans="1:12" ht="15.75">
      <c r="A48" s="207">
        <v>89</v>
      </c>
      <c r="B48" s="208" t="s">
        <v>56</v>
      </c>
      <c r="C48" s="209">
        <v>14212</v>
      </c>
      <c r="D48" s="209">
        <v>0</v>
      </c>
      <c r="E48" s="216">
        <f t="shared" si="1"/>
        <v>14212</v>
      </c>
      <c r="F48" s="213" t="s">
        <v>815</v>
      </c>
      <c r="G48" s="213"/>
      <c r="H48" s="213"/>
      <c r="I48" s="213"/>
      <c r="L48" s="208">
        <v>79</v>
      </c>
    </row>
    <row r="49" spans="1:14" ht="15.75">
      <c r="A49" s="207">
        <v>90</v>
      </c>
      <c r="B49" s="208" t="s">
        <v>57</v>
      </c>
      <c r="C49" s="209">
        <v>1538871.7</v>
      </c>
      <c r="D49" s="209">
        <v>0</v>
      </c>
      <c r="E49" s="216">
        <f t="shared" si="1"/>
        <v>1538871.7</v>
      </c>
      <c r="F49" s="213" t="s">
        <v>815</v>
      </c>
      <c r="G49" s="213"/>
      <c r="H49" s="213"/>
      <c r="I49" s="213"/>
      <c r="L49" s="208">
        <v>80</v>
      </c>
      <c r="M49" s="211">
        <f>+L49-A47</f>
        <v>-8</v>
      </c>
      <c r="N49" s="203" t="s">
        <v>832</v>
      </c>
    </row>
    <row r="50" spans="1:14" ht="15.75">
      <c r="A50" s="207">
        <v>91</v>
      </c>
      <c r="B50" s="208" t="s">
        <v>829</v>
      </c>
      <c r="C50" s="209">
        <v>27005</v>
      </c>
      <c r="D50" s="209">
        <v>0</v>
      </c>
      <c r="E50" s="216">
        <f t="shared" si="1"/>
        <v>27005</v>
      </c>
      <c r="F50" s="213" t="s">
        <v>815</v>
      </c>
      <c r="G50" s="213"/>
      <c r="H50" s="213"/>
      <c r="I50" s="213"/>
      <c r="L50" s="208">
        <v>81</v>
      </c>
      <c r="M50" s="211">
        <f>+L50-A48</f>
        <v>-8</v>
      </c>
      <c r="N50" s="203" t="s">
        <v>832</v>
      </c>
    </row>
    <row r="51" spans="1:14" ht="15.75">
      <c r="A51" s="207">
        <v>92</v>
      </c>
      <c r="B51" s="208" t="s">
        <v>830</v>
      </c>
      <c r="C51" s="209">
        <v>107755</v>
      </c>
      <c r="D51" s="209">
        <v>0</v>
      </c>
      <c r="E51" s="216">
        <f t="shared" si="1"/>
        <v>107755</v>
      </c>
      <c r="F51" s="213" t="s">
        <v>815</v>
      </c>
      <c r="G51" s="213"/>
      <c r="H51" s="213"/>
      <c r="I51" s="213"/>
      <c r="L51" s="208">
        <v>82</v>
      </c>
      <c r="M51" s="211">
        <f>+L51-A49</f>
        <v>-8</v>
      </c>
      <c r="N51" s="203" t="s">
        <v>832</v>
      </c>
    </row>
    <row r="52" spans="1:12" ht="15.75">
      <c r="A52" s="207">
        <v>93</v>
      </c>
      <c r="B52" s="208" t="s">
        <v>833</v>
      </c>
      <c r="C52" s="209">
        <v>4034665</v>
      </c>
      <c r="D52" s="209">
        <v>0</v>
      </c>
      <c r="E52" s="216">
        <f t="shared" si="1"/>
        <v>4034665</v>
      </c>
      <c r="F52" s="213" t="s">
        <v>815</v>
      </c>
      <c r="G52" s="213"/>
      <c r="H52" s="213"/>
      <c r="I52" s="213"/>
      <c r="L52" s="208">
        <v>88</v>
      </c>
    </row>
    <row r="53" spans="1:12" ht="15.75">
      <c r="A53" s="207">
        <v>94</v>
      </c>
      <c r="B53" s="208" t="s">
        <v>58</v>
      </c>
      <c r="C53" s="209">
        <v>1105399</v>
      </c>
      <c r="D53" s="209">
        <v>0</v>
      </c>
      <c r="E53" s="216">
        <f t="shared" si="1"/>
        <v>1105399</v>
      </c>
      <c r="F53" s="213" t="s">
        <v>815</v>
      </c>
      <c r="G53" s="213"/>
      <c r="H53" s="213"/>
      <c r="I53" s="213"/>
      <c r="L53" s="208">
        <v>89</v>
      </c>
    </row>
    <row r="54" spans="1:12" ht="15.75">
      <c r="A54" s="207">
        <v>95</v>
      </c>
      <c r="B54" s="208" t="s">
        <v>834</v>
      </c>
      <c r="C54" s="209">
        <v>460814</v>
      </c>
      <c r="D54" s="209">
        <v>0</v>
      </c>
      <c r="E54" s="216">
        <f t="shared" si="1"/>
        <v>460814</v>
      </c>
      <c r="F54" s="213" t="s">
        <v>815</v>
      </c>
      <c r="G54" s="213"/>
      <c r="H54" s="213"/>
      <c r="I54" s="213"/>
      <c r="L54" s="208">
        <v>90</v>
      </c>
    </row>
    <row r="55" spans="1:12" ht="15.75">
      <c r="A55" s="207">
        <v>96</v>
      </c>
      <c r="B55" s="208" t="s">
        <v>59</v>
      </c>
      <c r="C55" s="209">
        <v>365666</v>
      </c>
      <c r="D55" s="209">
        <v>0</v>
      </c>
      <c r="E55" s="216">
        <f t="shared" si="1"/>
        <v>365666</v>
      </c>
      <c r="F55" s="213" t="s">
        <v>815</v>
      </c>
      <c r="G55" s="213"/>
      <c r="H55" s="213"/>
      <c r="I55" s="213"/>
      <c r="L55" s="208">
        <v>91</v>
      </c>
    </row>
    <row r="56" spans="1:12" ht="15.75">
      <c r="A56" s="207">
        <v>100</v>
      </c>
      <c r="B56" s="208" t="s">
        <v>60</v>
      </c>
      <c r="C56" s="209">
        <v>50000</v>
      </c>
      <c r="D56" s="209">
        <v>0</v>
      </c>
      <c r="E56" s="216">
        <f t="shared" si="1"/>
        <v>50000</v>
      </c>
      <c r="F56" s="213" t="s">
        <v>815</v>
      </c>
      <c r="G56" s="213"/>
      <c r="H56" s="213"/>
      <c r="I56" s="213"/>
      <c r="L56" s="208">
        <v>92</v>
      </c>
    </row>
    <row r="57" spans="1:12" ht="15.75">
      <c r="A57" s="207">
        <v>101</v>
      </c>
      <c r="B57" s="208" t="s">
        <v>835</v>
      </c>
      <c r="C57" s="209">
        <v>972571</v>
      </c>
      <c r="D57" s="209">
        <v>0</v>
      </c>
      <c r="E57" s="216">
        <f t="shared" si="1"/>
        <v>972571</v>
      </c>
      <c r="F57" s="213" t="s">
        <v>815</v>
      </c>
      <c r="G57" s="213"/>
      <c r="H57" s="213"/>
      <c r="I57" s="213"/>
      <c r="L57" s="208">
        <v>93</v>
      </c>
    </row>
    <row r="58" spans="1:12" ht="15.75">
      <c r="A58" s="207">
        <v>102</v>
      </c>
      <c r="B58" s="208" t="s">
        <v>836</v>
      </c>
      <c r="C58" s="209">
        <v>1742184</v>
      </c>
      <c r="D58" s="209">
        <v>0</v>
      </c>
      <c r="E58" s="216">
        <f t="shared" si="1"/>
        <v>1742184</v>
      </c>
      <c r="F58" s="213" t="s">
        <v>815</v>
      </c>
      <c r="G58" s="213"/>
      <c r="H58" s="213"/>
      <c r="I58" s="213"/>
      <c r="L58" s="208">
        <v>94</v>
      </c>
    </row>
    <row r="59" spans="1:12" ht="15.75">
      <c r="A59" s="207">
        <v>103</v>
      </c>
      <c r="B59" s="208" t="s">
        <v>837</v>
      </c>
      <c r="C59" s="209">
        <v>238922</v>
      </c>
      <c r="D59" s="209">
        <v>0</v>
      </c>
      <c r="E59" s="216">
        <f t="shared" si="1"/>
        <v>238922</v>
      </c>
      <c r="F59" s="213" t="s">
        <v>815</v>
      </c>
      <c r="G59" s="213"/>
      <c r="H59" s="213"/>
      <c r="I59" s="213"/>
      <c r="L59" s="208">
        <v>95</v>
      </c>
    </row>
    <row r="60" spans="1:12" ht="15.75">
      <c r="A60" s="207">
        <v>104</v>
      </c>
      <c r="B60" s="208" t="s">
        <v>838</v>
      </c>
      <c r="C60" s="209">
        <v>81344</v>
      </c>
      <c r="D60" s="209">
        <v>0</v>
      </c>
      <c r="E60" s="216">
        <f t="shared" si="1"/>
        <v>81344</v>
      </c>
      <c r="F60" s="213" t="s">
        <v>815</v>
      </c>
      <c r="G60" s="213"/>
      <c r="H60" s="213"/>
      <c r="I60" s="213"/>
      <c r="L60" s="208">
        <v>96</v>
      </c>
    </row>
    <row r="61" spans="1:12" ht="15.75">
      <c r="A61" s="212">
        <v>105</v>
      </c>
      <c r="B61" s="213" t="s">
        <v>61</v>
      </c>
      <c r="C61" s="209">
        <v>0</v>
      </c>
      <c r="D61" s="209">
        <v>1416</v>
      </c>
      <c r="E61" s="215">
        <f t="shared" si="1"/>
        <v>-1416</v>
      </c>
      <c r="F61" s="213" t="s">
        <v>222</v>
      </c>
      <c r="G61" s="213" t="s">
        <v>62</v>
      </c>
      <c r="H61" s="213" t="s">
        <v>23</v>
      </c>
      <c r="I61" s="213" t="s">
        <v>44</v>
      </c>
      <c r="L61" s="208">
        <v>101</v>
      </c>
    </row>
    <row r="62" spans="1:12" ht="15.75">
      <c r="A62" s="212">
        <v>106</v>
      </c>
      <c r="B62" s="208" t="s">
        <v>839</v>
      </c>
      <c r="C62" s="209">
        <v>24697.39</v>
      </c>
      <c r="D62" s="209">
        <v>0</v>
      </c>
      <c r="E62" s="216">
        <f t="shared" si="1"/>
        <v>24697.39</v>
      </c>
      <c r="F62" s="213" t="s">
        <v>815</v>
      </c>
      <c r="G62" s="213"/>
      <c r="H62" s="213"/>
      <c r="I62" s="213"/>
      <c r="L62" s="208">
        <v>102</v>
      </c>
    </row>
    <row r="63" spans="1:12" ht="15.75">
      <c r="A63" s="212">
        <v>112</v>
      </c>
      <c r="B63" s="208" t="s">
        <v>840</v>
      </c>
      <c r="C63" s="209">
        <v>1588590</v>
      </c>
      <c r="D63" s="209">
        <v>0</v>
      </c>
      <c r="E63" s="216">
        <f t="shared" si="1"/>
        <v>1588590</v>
      </c>
      <c r="F63" s="213" t="s">
        <v>815</v>
      </c>
      <c r="G63" s="213"/>
      <c r="H63" s="213"/>
      <c r="I63" s="213"/>
      <c r="L63" s="208">
        <v>103</v>
      </c>
    </row>
    <row r="64" spans="1:12" ht="15.75">
      <c r="A64" s="212">
        <v>113</v>
      </c>
      <c r="B64" s="213" t="s">
        <v>63</v>
      </c>
      <c r="C64" s="209">
        <v>8858008</v>
      </c>
      <c r="D64" s="209">
        <v>0</v>
      </c>
      <c r="E64" s="215">
        <f t="shared" si="1"/>
        <v>8858008</v>
      </c>
      <c r="F64" s="213" t="s">
        <v>222</v>
      </c>
      <c r="G64" s="213" t="s">
        <v>12</v>
      </c>
      <c r="H64" s="213" t="s">
        <v>13</v>
      </c>
      <c r="I64" s="213" t="s">
        <v>14</v>
      </c>
      <c r="L64" s="208">
        <v>104</v>
      </c>
    </row>
    <row r="65" spans="1:12" ht="15.75">
      <c r="A65" s="212">
        <v>114</v>
      </c>
      <c r="B65" s="208" t="s">
        <v>841</v>
      </c>
      <c r="C65" s="209">
        <v>7714695</v>
      </c>
      <c r="D65" s="209">
        <v>0</v>
      </c>
      <c r="E65" s="216">
        <f t="shared" si="1"/>
        <v>7714695</v>
      </c>
      <c r="F65" s="213" t="s">
        <v>815</v>
      </c>
      <c r="G65" s="213"/>
      <c r="H65" s="213"/>
      <c r="I65" s="213"/>
      <c r="L65" s="208">
        <v>105</v>
      </c>
    </row>
    <row r="66" spans="1:12" ht="15.75">
      <c r="A66" s="212">
        <v>115</v>
      </c>
      <c r="B66" s="213" t="s">
        <v>64</v>
      </c>
      <c r="C66" s="209">
        <v>16996052</v>
      </c>
      <c r="D66" s="209">
        <v>0</v>
      </c>
      <c r="E66" s="215">
        <f t="shared" si="1"/>
        <v>16996052</v>
      </c>
      <c r="F66" s="213" t="s">
        <v>222</v>
      </c>
      <c r="G66" s="213" t="s">
        <v>12</v>
      </c>
      <c r="H66" s="213" t="s">
        <v>13</v>
      </c>
      <c r="I66" s="213" t="s">
        <v>14</v>
      </c>
      <c r="L66" s="208">
        <v>106</v>
      </c>
    </row>
    <row r="67" spans="1:12" ht="15.75">
      <c r="A67" s="212">
        <v>116</v>
      </c>
      <c r="B67" s="208" t="s">
        <v>842</v>
      </c>
      <c r="C67" s="209">
        <v>1560052</v>
      </c>
      <c r="D67" s="209">
        <v>0</v>
      </c>
      <c r="E67" s="216">
        <f t="shared" si="1"/>
        <v>1560052</v>
      </c>
      <c r="F67" s="213" t="s">
        <v>815</v>
      </c>
      <c r="G67" s="213"/>
      <c r="H67" s="213"/>
      <c r="I67" s="213"/>
      <c r="L67" s="208">
        <v>112</v>
      </c>
    </row>
    <row r="68" spans="1:12" ht="15.75">
      <c r="A68" s="212">
        <v>120</v>
      </c>
      <c r="B68" s="208" t="s">
        <v>65</v>
      </c>
      <c r="C68" s="209">
        <v>419783</v>
      </c>
      <c r="D68" s="209">
        <v>0</v>
      </c>
      <c r="E68" s="216">
        <f t="shared" si="1"/>
        <v>419783</v>
      </c>
      <c r="F68" s="213" t="s">
        <v>815</v>
      </c>
      <c r="G68" s="213"/>
      <c r="H68" s="213"/>
      <c r="I68" s="213"/>
      <c r="L68" s="208">
        <v>113</v>
      </c>
    </row>
    <row r="69" spans="1:12" ht="15.75">
      <c r="A69" s="212">
        <v>123</v>
      </c>
      <c r="B69" s="208" t="s">
        <v>66</v>
      </c>
      <c r="C69" s="209">
        <v>403556</v>
      </c>
      <c r="D69" s="209">
        <v>0</v>
      </c>
      <c r="E69" s="216">
        <f t="shared" si="1"/>
        <v>403556</v>
      </c>
      <c r="F69" s="213" t="s">
        <v>815</v>
      </c>
      <c r="G69" s="213"/>
      <c r="H69" s="213"/>
      <c r="I69" s="213"/>
      <c r="L69" s="208">
        <v>114</v>
      </c>
    </row>
    <row r="70" spans="1:12" ht="15.75">
      <c r="A70" s="212">
        <v>128</v>
      </c>
      <c r="B70" s="213" t="s">
        <v>11</v>
      </c>
      <c r="C70" s="209">
        <f>209792105-9350000</f>
        <v>200442105</v>
      </c>
      <c r="D70" s="209">
        <v>0</v>
      </c>
      <c r="E70" s="215">
        <f t="shared" si="1"/>
        <v>200442105</v>
      </c>
      <c r="F70" s="213" t="s">
        <v>222</v>
      </c>
      <c r="G70" s="213" t="s">
        <v>12</v>
      </c>
      <c r="H70" s="213" t="s">
        <v>13</v>
      </c>
      <c r="I70" s="213" t="s">
        <v>14</v>
      </c>
      <c r="L70" s="208">
        <v>115</v>
      </c>
    </row>
    <row r="71" spans="1:12" ht="15.75">
      <c r="A71" s="212">
        <v>129</v>
      </c>
      <c r="B71" s="213" t="s">
        <v>15</v>
      </c>
      <c r="C71" s="209">
        <f>52955371+37247499</f>
        <v>90202870</v>
      </c>
      <c r="D71" s="209">
        <v>0</v>
      </c>
      <c r="E71" s="215">
        <f t="shared" si="1"/>
        <v>90202870</v>
      </c>
      <c r="F71" s="213" t="s">
        <v>222</v>
      </c>
      <c r="G71" s="213" t="s">
        <v>12</v>
      </c>
      <c r="H71" s="213" t="s">
        <v>13</v>
      </c>
      <c r="I71" s="213" t="s">
        <v>14</v>
      </c>
      <c r="L71" s="208">
        <v>116</v>
      </c>
    </row>
    <row r="72" spans="1:12" ht="15.75">
      <c r="A72" s="212">
        <v>130</v>
      </c>
      <c r="B72" s="213" t="s">
        <v>67</v>
      </c>
      <c r="C72" s="209">
        <v>4990246</v>
      </c>
      <c r="D72" s="209">
        <v>0</v>
      </c>
      <c r="E72" s="215">
        <f t="shared" si="1"/>
        <v>4990246</v>
      </c>
      <c r="F72" s="213" t="s">
        <v>222</v>
      </c>
      <c r="G72" s="213" t="s">
        <v>12</v>
      </c>
      <c r="H72" s="213" t="s">
        <v>13</v>
      </c>
      <c r="I72" s="213" t="s">
        <v>14</v>
      </c>
      <c r="L72" s="208">
        <v>120</v>
      </c>
    </row>
    <row r="73" spans="1:14" ht="15.75">
      <c r="A73" s="212">
        <v>131</v>
      </c>
      <c r="B73" s="213" t="s">
        <v>16</v>
      </c>
      <c r="C73" s="209">
        <v>2054935</v>
      </c>
      <c r="D73" s="209">
        <v>0</v>
      </c>
      <c r="E73" s="215">
        <f t="shared" si="1"/>
        <v>2054935</v>
      </c>
      <c r="F73" s="213" t="s">
        <v>222</v>
      </c>
      <c r="G73" s="213" t="s">
        <v>12</v>
      </c>
      <c r="H73" s="213" t="s">
        <v>13</v>
      </c>
      <c r="I73" s="213" t="s">
        <v>14</v>
      </c>
      <c r="L73" s="208">
        <v>121</v>
      </c>
      <c r="M73" s="211">
        <f>+L73-A69</f>
        <v>-2</v>
      </c>
      <c r="N73" s="203" t="s">
        <v>832</v>
      </c>
    </row>
    <row r="74" spans="1:12" ht="15.75">
      <c r="A74" s="212">
        <v>132</v>
      </c>
      <c r="B74" s="213" t="s">
        <v>17</v>
      </c>
      <c r="C74" s="209">
        <v>48767803</v>
      </c>
      <c r="D74" s="209">
        <v>0</v>
      </c>
      <c r="E74" s="215">
        <f t="shared" si="1"/>
        <v>48767803</v>
      </c>
      <c r="F74" s="213" t="s">
        <v>222</v>
      </c>
      <c r="G74" s="213" t="s">
        <v>12</v>
      </c>
      <c r="H74" s="213" t="s">
        <v>13</v>
      </c>
      <c r="I74" s="213" t="s">
        <v>14</v>
      </c>
      <c r="L74" s="208">
        <v>128</v>
      </c>
    </row>
    <row r="75" spans="1:12" ht="15.75">
      <c r="A75" s="212">
        <v>134</v>
      </c>
      <c r="B75" s="213" t="s">
        <v>68</v>
      </c>
      <c r="C75" s="209">
        <v>28619639</v>
      </c>
      <c r="D75" s="209">
        <v>0</v>
      </c>
      <c r="E75" s="215">
        <f t="shared" si="1"/>
        <v>28619639</v>
      </c>
      <c r="F75" s="213" t="s">
        <v>222</v>
      </c>
      <c r="G75" s="213" t="s">
        <v>12</v>
      </c>
      <c r="H75" s="213" t="s">
        <v>13</v>
      </c>
      <c r="I75" s="213" t="s">
        <v>14</v>
      </c>
      <c r="L75" s="208">
        <v>129</v>
      </c>
    </row>
    <row r="76" spans="1:12" ht="15.75">
      <c r="A76" s="212">
        <v>135</v>
      </c>
      <c r="B76" s="213" t="s">
        <v>69</v>
      </c>
      <c r="C76" s="209">
        <v>44601968</v>
      </c>
      <c r="D76" s="209">
        <v>0</v>
      </c>
      <c r="E76" s="215">
        <f t="shared" si="1"/>
        <v>44601968</v>
      </c>
      <c r="F76" s="213" t="s">
        <v>222</v>
      </c>
      <c r="G76" s="213" t="s">
        <v>12</v>
      </c>
      <c r="H76" s="213" t="s">
        <v>13</v>
      </c>
      <c r="I76" s="213" t="s">
        <v>14</v>
      </c>
      <c r="L76" s="208">
        <v>130</v>
      </c>
    </row>
    <row r="77" spans="1:12" ht="15.75">
      <c r="A77" s="212">
        <v>137</v>
      </c>
      <c r="B77" s="213" t="s">
        <v>18</v>
      </c>
      <c r="C77" s="209">
        <v>4629439</v>
      </c>
      <c r="D77" s="209">
        <v>0</v>
      </c>
      <c r="E77" s="215">
        <f t="shared" si="1"/>
        <v>4629439</v>
      </c>
      <c r="F77" s="213" t="s">
        <v>222</v>
      </c>
      <c r="G77" s="213" t="s">
        <v>12</v>
      </c>
      <c r="H77" s="213" t="s">
        <v>13</v>
      </c>
      <c r="I77" s="213" t="s">
        <v>14</v>
      </c>
      <c r="L77" s="208">
        <v>131</v>
      </c>
    </row>
    <row r="78" spans="1:12" ht="15.75">
      <c r="A78" s="212">
        <v>138</v>
      </c>
      <c r="B78" s="213" t="s">
        <v>70</v>
      </c>
      <c r="C78" s="209">
        <v>55008536</v>
      </c>
      <c r="D78" s="209">
        <v>0</v>
      </c>
      <c r="E78" s="215">
        <f t="shared" si="1"/>
        <v>55008536</v>
      </c>
      <c r="F78" s="213" t="s">
        <v>222</v>
      </c>
      <c r="G78" s="213" t="s">
        <v>12</v>
      </c>
      <c r="H78" s="213" t="s">
        <v>13</v>
      </c>
      <c r="I78" s="213" t="s">
        <v>14</v>
      </c>
      <c r="L78" s="208">
        <v>132</v>
      </c>
    </row>
    <row r="79" spans="1:12" ht="15.75">
      <c r="A79" s="212">
        <v>139</v>
      </c>
      <c r="B79" s="213" t="s">
        <v>19</v>
      </c>
      <c r="C79" s="209">
        <v>19118404</v>
      </c>
      <c r="D79" s="209">
        <v>0</v>
      </c>
      <c r="E79" s="215">
        <f t="shared" si="1"/>
        <v>19118404</v>
      </c>
      <c r="F79" s="213" t="s">
        <v>222</v>
      </c>
      <c r="G79" s="213" t="s">
        <v>12</v>
      </c>
      <c r="H79" s="213" t="s">
        <v>13</v>
      </c>
      <c r="I79" s="213" t="s">
        <v>14</v>
      </c>
      <c r="L79" s="208">
        <v>134</v>
      </c>
    </row>
    <row r="80" spans="1:12" ht="15.75">
      <c r="A80" s="212">
        <v>140</v>
      </c>
      <c r="B80" s="213" t="s">
        <v>20</v>
      </c>
      <c r="C80" s="209">
        <v>1364460</v>
      </c>
      <c r="D80" s="209">
        <v>0</v>
      </c>
      <c r="E80" s="215">
        <f t="shared" si="1"/>
        <v>1364460</v>
      </c>
      <c r="F80" s="213" t="s">
        <v>222</v>
      </c>
      <c r="G80" s="213" t="s">
        <v>12</v>
      </c>
      <c r="H80" s="213" t="s">
        <v>13</v>
      </c>
      <c r="I80" s="213" t="s">
        <v>14</v>
      </c>
      <c r="L80" s="208">
        <v>135</v>
      </c>
    </row>
    <row r="81" spans="1:12" ht="15.75">
      <c r="A81" s="212">
        <v>141</v>
      </c>
      <c r="B81" s="213" t="s">
        <v>21</v>
      </c>
      <c r="C81" s="209">
        <v>250660</v>
      </c>
      <c r="D81" s="209">
        <v>0</v>
      </c>
      <c r="E81" s="215">
        <f t="shared" si="1"/>
        <v>250660</v>
      </c>
      <c r="F81" s="213" t="s">
        <v>222</v>
      </c>
      <c r="G81" s="213" t="s">
        <v>22</v>
      </c>
      <c r="H81" s="213" t="s">
        <v>23</v>
      </c>
      <c r="I81" s="213" t="s">
        <v>52</v>
      </c>
      <c r="L81" s="208">
        <v>137</v>
      </c>
    </row>
    <row r="82" spans="1:12" ht="15.75">
      <c r="A82" s="212">
        <v>142</v>
      </c>
      <c r="B82" s="213" t="s">
        <v>71</v>
      </c>
      <c r="C82" s="209">
        <v>817500</v>
      </c>
      <c r="D82" s="209">
        <v>0</v>
      </c>
      <c r="E82" s="215">
        <f t="shared" si="1"/>
        <v>817500</v>
      </c>
      <c r="F82" s="213" t="s">
        <v>222</v>
      </c>
      <c r="G82" s="213" t="s">
        <v>12</v>
      </c>
      <c r="H82" s="213" t="s">
        <v>13</v>
      </c>
      <c r="I82" s="213" t="s">
        <v>14</v>
      </c>
      <c r="L82" s="208">
        <v>138</v>
      </c>
    </row>
    <row r="83" spans="1:12" ht="15.75">
      <c r="A83" s="212">
        <v>143</v>
      </c>
      <c r="B83" s="213" t="s">
        <v>72</v>
      </c>
      <c r="C83" s="209">
        <v>2216344</v>
      </c>
      <c r="D83" s="209">
        <v>0</v>
      </c>
      <c r="E83" s="215">
        <f t="shared" si="1"/>
        <v>2216344</v>
      </c>
      <c r="F83" s="213" t="s">
        <v>222</v>
      </c>
      <c r="G83" s="213" t="s">
        <v>12</v>
      </c>
      <c r="H83" s="213" t="s">
        <v>13</v>
      </c>
      <c r="I83" s="213" t="s">
        <v>14</v>
      </c>
      <c r="L83" s="208">
        <v>139</v>
      </c>
    </row>
    <row r="84" spans="1:12" ht="15.75">
      <c r="A84" s="212">
        <v>144</v>
      </c>
      <c r="B84" s="213" t="s">
        <v>73</v>
      </c>
      <c r="C84" s="209">
        <v>1786908</v>
      </c>
      <c r="D84" s="209">
        <v>0</v>
      </c>
      <c r="E84" s="215">
        <f t="shared" si="1"/>
        <v>1786908</v>
      </c>
      <c r="F84" s="213" t="s">
        <v>222</v>
      </c>
      <c r="G84" s="213" t="s">
        <v>12</v>
      </c>
      <c r="H84" s="213" t="s">
        <v>13</v>
      </c>
      <c r="I84" s="213" t="s">
        <v>14</v>
      </c>
      <c r="L84" s="208">
        <v>140</v>
      </c>
    </row>
    <row r="85" spans="1:12" ht="15.75">
      <c r="A85" s="212">
        <v>145</v>
      </c>
      <c r="B85" s="213" t="s">
        <v>25</v>
      </c>
      <c r="C85" s="209">
        <v>2277424</v>
      </c>
      <c r="D85" s="209">
        <v>0</v>
      </c>
      <c r="E85" s="215">
        <f t="shared" si="1"/>
        <v>2277424</v>
      </c>
      <c r="F85" s="213" t="s">
        <v>222</v>
      </c>
      <c r="G85" s="213" t="s">
        <v>12</v>
      </c>
      <c r="H85" s="213" t="s">
        <v>13</v>
      </c>
      <c r="I85" s="213" t="s">
        <v>14</v>
      </c>
      <c r="L85" s="208">
        <v>141</v>
      </c>
    </row>
    <row r="86" spans="1:12" ht="15.75">
      <c r="A86" s="212">
        <v>146</v>
      </c>
      <c r="B86" s="213" t="s">
        <v>26</v>
      </c>
      <c r="C86" s="209">
        <v>5490981</v>
      </c>
      <c r="D86" s="209">
        <v>0</v>
      </c>
      <c r="E86" s="215">
        <f t="shared" si="1"/>
        <v>5490981</v>
      </c>
      <c r="F86" s="213" t="s">
        <v>222</v>
      </c>
      <c r="G86" s="213" t="s">
        <v>12</v>
      </c>
      <c r="H86" s="213" t="s">
        <v>13</v>
      </c>
      <c r="I86" s="213" t="s">
        <v>14</v>
      </c>
      <c r="L86" s="208">
        <v>142</v>
      </c>
    </row>
    <row r="87" spans="1:12" ht="15.75">
      <c r="A87" s="212">
        <v>148</v>
      </c>
      <c r="B87" s="213" t="s">
        <v>27</v>
      </c>
      <c r="C87" s="209">
        <v>100224</v>
      </c>
      <c r="D87" s="209">
        <v>0</v>
      </c>
      <c r="E87" s="215">
        <f t="shared" si="1"/>
        <v>100224</v>
      </c>
      <c r="F87" s="213" t="s">
        <v>222</v>
      </c>
      <c r="G87" s="213" t="s">
        <v>12</v>
      </c>
      <c r="H87" s="213" t="s">
        <v>13</v>
      </c>
      <c r="I87" s="213" t="s">
        <v>14</v>
      </c>
      <c r="L87" s="208">
        <v>143</v>
      </c>
    </row>
    <row r="88" spans="1:12" ht="15.75">
      <c r="A88" s="212">
        <v>150</v>
      </c>
      <c r="B88" s="213" t="s">
        <v>74</v>
      </c>
      <c r="C88" s="209">
        <v>4073757</v>
      </c>
      <c r="D88" s="209">
        <v>0</v>
      </c>
      <c r="E88" s="215">
        <f t="shared" si="1"/>
        <v>4073757</v>
      </c>
      <c r="F88" s="213" t="s">
        <v>222</v>
      </c>
      <c r="G88" s="213" t="s">
        <v>12</v>
      </c>
      <c r="H88" s="213" t="s">
        <v>13</v>
      </c>
      <c r="I88" s="213" t="s">
        <v>14</v>
      </c>
      <c r="L88" s="208">
        <v>144</v>
      </c>
    </row>
    <row r="89" spans="1:12" ht="15.75">
      <c r="A89" s="212">
        <v>152</v>
      </c>
      <c r="B89" s="213" t="s">
        <v>75</v>
      </c>
      <c r="C89" s="209">
        <v>919254</v>
      </c>
      <c r="D89" s="209">
        <v>0</v>
      </c>
      <c r="E89" s="215">
        <f t="shared" si="1"/>
        <v>919254</v>
      </c>
      <c r="F89" s="213" t="s">
        <v>222</v>
      </c>
      <c r="G89" s="213" t="s">
        <v>12</v>
      </c>
      <c r="H89" s="213" t="s">
        <v>13</v>
      </c>
      <c r="I89" s="213" t="s">
        <v>14</v>
      </c>
      <c r="L89" s="208">
        <v>145</v>
      </c>
    </row>
    <row r="90" spans="1:12" ht="15.75">
      <c r="A90" s="212">
        <v>154</v>
      </c>
      <c r="B90" s="213" t="s">
        <v>76</v>
      </c>
      <c r="C90" s="209">
        <v>352861</v>
      </c>
      <c r="D90" s="209">
        <v>0</v>
      </c>
      <c r="E90" s="215">
        <f t="shared" si="1"/>
        <v>352861</v>
      </c>
      <c r="F90" s="213" t="s">
        <v>222</v>
      </c>
      <c r="G90" s="213" t="s">
        <v>12</v>
      </c>
      <c r="H90" s="213" t="s">
        <v>13</v>
      </c>
      <c r="I90" s="213" t="s">
        <v>14</v>
      </c>
      <c r="L90" s="208">
        <v>146</v>
      </c>
    </row>
    <row r="91" spans="1:12" ht="15.75">
      <c r="A91" s="212">
        <v>156</v>
      </c>
      <c r="B91" s="213" t="s">
        <v>77</v>
      </c>
      <c r="C91" s="209">
        <v>6328896</v>
      </c>
      <c r="D91" s="209">
        <v>0</v>
      </c>
      <c r="E91" s="215">
        <f t="shared" si="1"/>
        <v>6328896</v>
      </c>
      <c r="F91" s="213" t="s">
        <v>222</v>
      </c>
      <c r="G91" s="213" t="s">
        <v>12</v>
      </c>
      <c r="H91" s="213" t="s">
        <v>13</v>
      </c>
      <c r="I91" s="213" t="s">
        <v>14</v>
      </c>
      <c r="L91" s="208">
        <v>148</v>
      </c>
    </row>
    <row r="92" spans="1:12" ht="15.75">
      <c r="A92" s="212">
        <v>158</v>
      </c>
      <c r="B92" s="208" t="s">
        <v>843</v>
      </c>
      <c r="C92" s="209">
        <v>0</v>
      </c>
      <c r="D92" s="209">
        <v>0</v>
      </c>
      <c r="E92" s="215">
        <f t="shared" si="1"/>
        <v>0</v>
      </c>
      <c r="F92" s="213" t="s">
        <v>815</v>
      </c>
      <c r="G92" s="213"/>
      <c r="H92" s="213"/>
      <c r="I92" s="213"/>
      <c r="L92" s="208">
        <v>150</v>
      </c>
    </row>
    <row r="93" spans="1:14" ht="15.75">
      <c r="A93" s="212">
        <v>159</v>
      </c>
      <c r="B93" s="213" t="s">
        <v>78</v>
      </c>
      <c r="C93" s="209">
        <v>0</v>
      </c>
      <c r="D93" s="209">
        <v>3721.33</v>
      </c>
      <c r="E93" s="215">
        <f t="shared" si="1"/>
        <v>-3721.33</v>
      </c>
      <c r="F93" s="213" t="s">
        <v>222</v>
      </c>
      <c r="G93" s="213" t="s">
        <v>79</v>
      </c>
      <c r="H93" s="213" t="s">
        <v>23</v>
      </c>
      <c r="I93" s="213" t="s">
        <v>80</v>
      </c>
      <c r="L93" s="208">
        <v>151</v>
      </c>
      <c r="M93" s="211">
        <f>+L93-A89</f>
        <v>-1</v>
      </c>
      <c r="N93" s="203" t="s">
        <v>831</v>
      </c>
    </row>
    <row r="94" spans="1:12" ht="15.75">
      <c r="A94" s="212">
        <v>160</v>
      </c>
      <c r="B94" s="213" t="s">
        <v>81</v>
      </c>
      <c r="C94" s="209">
        <v>0</v>
      </c>
      <c r="D94" s="209">
        <v>3520012</v>
      </c>
      <c r="E94" s="215">
        <f t="shared" si="1"/>
        <v>-3520012</v>
      </c>
      <c r="F94" s="213" t="s">
        <v>222</v>
      </c>
      <c r="G94" s="213" t="s">
        <v>62</v>
      </c>
      <c r="H94" s="213" t="s">
        <v>23</v>
      </c>
      <c r="I94" s="213" t="s">
        <v>82</v>
      </c>
      <c r="L94" s="208">
        <v>152</v>
      </c>
    </row>
    <row r="95" spans="1:12" ht="15.75">
      <c r="A95" s="212">
        <v>162</v>
      </c>
      <c r="B95" s="213" t="s">
        <v>83</v>
      </c>
      <c r="C95" s="209">
        <v>112458253</v>
      </c>
      <c r="D95" s="209">
        <v>0</v>
      </c>
      <c r="E95" s="215">
        <f t="shared" si="1"/>
        <v>112458253</v>
      </c>
      <c r="F95" s="213" t="s">
        <v>222</v>
      </c>
      <c r="G95" s="213" t="s">
        <v>37</v>
      </c>
      <c r="H95" s="213" t="s">
        <v>13</v>
      </c>
      <c r="I95" s="213" t="s">
        <v>38</v>
      </c>
      <c r="L95" s="208">
        <v>154</v>
      </c>
    </row>
    <row r="96" spans="1:12" ht="15.75">
      <c r="A96" s="212">
        <v>163</v>
      </c>
      <c r="B96" s="213" t="s">
        <v>757</v>
      </c>
      <c r="C96" s="209">
        <v>171407198</v>
      </c>
      <c r="D96" s="209">
        <v>0</v>
      </c>
      <c r="E96" s="215">
        <f t="shared" si="1"/>
        <v>171407198</v>
      </c>
      <c r="F96" s="213" t="s">
        <v>222</v>
      </c>
      <c r="G96" s="213" t="s">
        <v>37</v>
      </c>
      <c r="H96" s="213" t="s">
        <v>13</v>
      </c>
      <c r="I96" s="213" t="s">
        <v>38</v>
      </c>
      <c r="L96" s="208">
        <v>156</v>
      </c>
    </row>
    <row r="97" spans="1:12" ht="15.75">
      <c r="A97" s="212">
        <v>164</v>
      </c>
      <c r="B97" s="213" t="s">
        <v>84</v>
      </c>
      <c r="C97" s="209">
        <v>6033621</v>
      </c>
      <c r="D97" s="209">
        <v>0</v>
      </c>
      <c r="E97" s="215">
        <f t="shared" si="1"/>
        <v>6033621</v>
      </c>
      <c r="F97" s="213" t="s">
        <v>222</v>
      </c>
      <c r="G97" s="213" t="s">
        <v>37</v>
      </c>
      <c r="H97" s="213" t="s">
        <v>13</v>
      </c>
      <c r="I97" s="213" t="s">
        <v>38</v>
      </c>
      <c r="L97" s="208">
        <v>158</v>
      </c>
    </row>
    <row r="98" spans="1:12" ht="15.75">
      <c r="A98" s="212">
        <v>165</v>
      </c>
      <c r="B98" s="213" t="s">
        <v>85</v>
      </c>
      <c r="C98" s="209">
        <v>9340806</v>
      </c>
      <c r="D98" s="209">
        <v>0</v>
      </c>
      <c r="E98" s="215">
        <f t="shared" si="1"/>
        <v>9340806</v>
      </c>
      <c r="F98" s="213" t="s">
        <v>222</v>
      </c>
      <c r="G98" s="213" t="s">
        <v>37</v>
      </c>
      <c r="H98" s="213" t="s">
        <v>13</v>
      </c>
      <c r="I98" s="213" t="s">
        <v>38</v>
      </c>
      <c r="L98" s="208">
        <v>159</v>
      </c>
    </row>
    <row r="99" spans="1:12" ht="15.75">
      <c r="A99" s="212">
        <v>166</v>
      </c>
      <c r="B99" s="213" t="s">
        <v>34</v>
      </c>
      <c r="C99" s="209">
        <v>2527308</v>
      </c>
      <c r="D99" s="209">
        <v>0</v>
      </c>
      <c r="E99" s="215">
        <f t="shared" si="1"/>
        <v>2527308</v>
      </c>
      <c r="F99" s="213" t="s">
        <v>222</v>
      </c>
      <c r="G99" s="213" t="s">
        <v>32</v>
      </c>
      <c r="H99" s="213" t="s">
        <v>13</v>
      </c>
      <c r="I99" s="213" t="s">
        <v>33</v>
      </c>
      <c r="L99" s="208">
        <v>160</v>
      </c>
    </row>
    <row r="100" spans="1:12" ht="15.75">
      <c r="A100" s="212">
        <v>167</v>
      </c>
      <c r="B100" s="213" t="s">
        <v>35</v>
      </c>
      <c r="C100" s="209">
        <v>1045571</v>
      </c>
      <c r="D100" s="209">
        <v>0</v>
      </c>
      <c r="E100" s="215">
        <f t="shared" si="1"/>
        <v>1045571</v>
      </c>
      <c r="F100" s="213" t="s">
        <v>222</v>
      </c>
      <c r="G100" s="213" t="s">
        <v>32</v>
      </c>
      <c r="H100" s="213" t="s">
        <v>13</v>
      </c>
      <c r="I100" s="213" t="s">
        <v>33</v>
      </c>
      <c r="L100" s="208">
        <v>162</v>
      </c>
    </row>
    <row r="101" spans="1:12" ht="15.75">
      <c r="A101" s="212">
        <v>170</v>
      </c>
      <c r="B101" s="213" t="s">
        <v>36</v>
      </c>
      <c r="C101" s="209">
        <v>96822445</v>
      </c>
      <c r="D101" s="209">
        <v>0</v>
      </c>
      <c r="E101" s="215">
        <f t="shared" si="1"/>
        <v>96822445</v>
      </c>
      <c r="F101" s="213" t="s">
        <v>222</v>
      </c>
      <c r="G101" s="213" t="s">
        <v>37</v>
      </c>
      <c r="H101" s="213" t="s">
        <v>13</v>
      </c>
      <c r="I101" s="213" t="s">
        <v>38</v>
      </c>
      <c r="L101" s="208">
        <v>163</v>
      </c>
    </row>
    <row r="102" spans="1:12" ht="15.75">
      <c r="A102" s="212">
        <v>171</v>
      </c>
      <c r="B102" s="213" t="s">
        <v>39</v>
      </c>
      <c r="C102" s="209">
        <v>19034565</v>
      </c>
      <c r="D102" s="209">
        <v>0</v>
      </c>
      <c r="E102" s="215">
        <f t="shared" si="1"/>
        <v>19034565</v>
      </c>
      <c r="F102" s="213" t="s">
        <v>222</v>
      </c>
      <c r="G102" s="213" t="s">
        <v>32</v>
      </c>
      <c r="H102" s="213" t="s">
        <v>13</v>
      </c>
      <c r="I102" s="213" t="s">
        <v>33</v>
      </c>
      <c r="L102" s="208">
        <v>164</v>
      </c>
    </row>
    <row r="103" spans="1:12" ht="15.75">
      <c r="A103" s="212">
        <v>174</v>
      </c>
      <c r="B103" s="213" t="s">
        <v>86</v>
      </c>
      <c r="C103" s="209">
        <v>2082330</v>
      </c>
      <c r="D103" s="209">
        <v>0</v>
      </c>
      <c r="E103" s="215">
        <f t="shared" si="1"/>
        <v>2082330</v>
      </c>
      <c r="F103" s="213" t="s">
        <v>222</v>
      </c>
      <c r="G103" s="213" t="s">
        <v>32</v>
      </c>
      <c r="H103" s="213" t="s">
        <v>13</v>
      </c>
      <c r="I103" s="213" t="s">
        <v>33</v>
      </c>
      <c r="L103" s="208">
        <v>165</v>
      </c>
    </row>
    <row r="104" spans="1:12" ht="15.75">
      <c r="A104" s="212">
        <v>175</v>
      </c>
      <c r="B104" s="213" t="s">
        <v>40</v>
      </c>
      <c r="C104" s="209">
        <v>833224</v>
      </c>
      <c r="D104" s="209">
        <v>0</v>
      </c>
      <c r="E104" s="215">
        <f t="shared" si="1"/>
        <v>833224</v>
      </c>
      <c r="F104" s="213" t="s">
        <v>222</v>
      </c>
      <c r="G104" s="213" t="s">
        <v>37</v>
      </c>
      <c r="H104" s="213" t="s">
        <v>13</v>
      </c>
      <c r="I104" s="213" t="s">
        <v>38</v>
      </c>
      <c r="L104" s="208">
        <v>166</v>
      </c>
    </row>
    <row r="105" spans="1:12" ht="15.75">
      <c r="A105" s="212">
        <v>176</v>
      </c>
      <c r="B105" s="213" t="s">
        <v>41</v>
      </c>
      <c r="C105" s="209">
        <v>446662</v>
      </c>
      <c r="D105" s="209">
        <v>0</v>
      </c>
      <c r="E105" s="215">
        <f t="shared" si="1"/>
        <v>446662</v>
      </c>
      <c r="F105" s="213" t="s">
        <v>222</v>
      </c>
      <c r="G105" s="213" t="s">
        <v>22</v>
      </c>
      <c r="H105" s="213" t="s">
        <v>23</v>
      </c>
      <c r="I105" s="213" t="s">
        <v>42</v>
      </c>
      <c r="L105" s="208">
        <v>167</v>
      </c>
    </row>
    <row r="106" spans="1:12" ht="15.75">
      <c r="A106" s="212">
        <v>178</v>
      </c>
      <c r="B106" s="213" t="s">
        <v>87</v>
      </c>
      <c r="C106" s="209">
        <v>760684</v>
      </c>
      <c r="D106" s="209">
        <v>0</v>
      </c>
      <c r="E106" s="214">
        <f t="shared" si="1"/>
        <v>760684</v>
      </c>
      <c r="F106" s="213" t="s">
        <v>222</v>
      </c>
      <c r="G106" s="213" t="s">
        <v>29</v>
      </c>
      <c r="H106" s="213" t="s">
        <v>23</v>
      </c>
      <c r="I106" s="213" t="s">
        <v>30</v>
      </c>
      <c r="L106" s="208">
        <v>170</v>
      </c>
    </row>
    <row r="107" spans="1:12" ht="15.75">
      <c r="A107" s="212">
        <v>182</v>
      </c>
      <c r="B107" s="213" t="s">
        <v>45</v>
      </c>
      <c r="C107" s="209">
        <v>219280</v>
      </c>
      <c r="D107" s="209">
        <v>0</v>
      </c>
      <c r="E107" s="215">
        <f t="shared" si="1"/>
        <v>219280</v>
      </c>
      <c r="F107" s="213" t="s">
        <v>222</v>
      </c>
      <c r="G107" s="213" t="s">
        <v>32</v>
      </c>
      <c r="H107" s="213" t="s">
        <v>13</v>
      </c>
      <c r="I107" s="213" t="s">
        <v>33</v>
      </c>
      <c r="L107" s="208">
        <v>171</v>
      </c>
    </row>
    <row r="108" spans="1:14" ht="15.75">
      <c r="A108" s="212">
        <v>183</v>
      </c>
      <c r="B108" s="213" t="s">
        <v>46</v>
      </c>
      <c r="C108" s="209">
        <v>11068748</v>
      </c>
      <c r="D108" s="209">
        <v>0</v>
      </c>
      <c r="E108" s="215">
        <f t="shared" si="1"/>
        <v>11068748</v>
      </c>
      <c r="F108" s="213" t="s">
        <v>222</v>
      </c>
      <c r="G108" s="213" t="s">
        <v>32</v>
      </c>
      <c r="H108" s="213" t="s">
        <v>13</v>
      </c>
      <c r="I108" s="213" t="s">
        <v>33</v>
      </c>
      <c r="L108" s="208">
        <v>172</v>
      </c>
      <c r="M108" s="211">
        <f>+L108-A103</f>
        <v>-2</v>
      </c>
      <c r="N108" s="203" t="s">
        <v>831</v>
      </c>
    </row>
    <row r="109" spans="1:12" ht="15.75">
      <c r="A109" s="212">
        <v>185</v>
      </c>
      <c r="B109" s="213" t="s">
        <v>47</v>
      </c>
      <c r="C109" s="209">
        <v>9750</v>
      </c>
      <c r="D109" s="209">
        <v>0</v>
      </c>
      <c r="E109" s="215">
        <f t="shared" si="1"/>
        <v>9750</v>
      </c>
      <c r="F109" s="213" t="s">
        <v>222</v>
      </c>
      <c r="G109" s="213" t="s">
        <v>32</v>
      </c>
      <c r="H109" s="213" t="s">
        <v>13</v>
      </c>
      <c r="I109" s="213" t="s">
        <v>33</v>
      </c>
      <c r="L109" s="208">
        <v>174</v>
      </c>
    </row>
    <row r="110" spans="1:12" ht="15.75">
      <c r="A110" s="212">
        <v>187</v>
      </c>
      <c r="B110" s="213" t="s">
        <v>48</v>
      </c>
      <c r="C110" s="209">
        <v>66207</v>
      </c>
      <c r="D110" s="209">
        <v>0</v>
      </c>
      <c r="E110" s="215">
        <f t="shared" si="1"/>
        <v>66207</v>
      </c>
      <c r="F110" s="213" t="s">
        <v>222</v>
      </c>
      <c r="G110" s="213" t="s">
        <v>32</v>
      </c>
      <c r="H110" s="213" t="s">
        <v>13</v>
      </c>
      <c r="I110" s="213" t="s">
        <v>33</v>
      </c>
      <c r="L110" s="208">
        <v>175</v>
      </c>
    </row>
    <row r="111" spans="1:12" ht="15.75">
      <c r="A111" s="212">
        <v>189</v>
      </c>
      <c r="B111" s="213" t="s">
        <v>49</v>
      </c>
      <c r="C111" s="209">
        <v>2347005</v>
      </c>
      <c r="D111" s="209">
        <v>0</v>
      </c>
      <c r="E111" s="215">
        <f t="shared" si="1"/>
        <v>2347005</v>
      </c>
      <c r="F111" s="213" t="s">
        <v>222</v>
      </c>
      <c r="G111" s="213" t="s">
        <v>12</v>
      </c>
      <c r="H111" s="213" t="s">
        <v>13</v>
      </c>
      <c r="I111" s="213" t="s">
        <v>14</v>
      </c>
      <c r="L111" s="208">
        <v>176</v>
      </c>
    </row>
    <row r="112" spans="1:14" ht="15.75">
      <c r="A112" s="212">
        <v>194</v>
      </c>
      <c r="B112" s="213" t="s">
        <v>48</v>
      </c>
      <c r="C112" s="209">
        <v>1170947</v>
      </c>
      <c r="D112" s="209">
        <v>0</v>
      </c>
      <c r="E112" s="215">
        <f t="shared" si="1"/>
        <v>1170947</v>
      </c>
      <c r="F112" s="213" t="s">
        <v>222</v>
      </c>
      <c r="G112" s="213" t="s">
        <v>32</v>
      </c>
      <c r="H112" s="213" t="s">
        <v>13</v>
      </c>
      <c r="I112" s="213" t="s">
        <v>33</v>
      </c>
      <c r="L112" s="208">
        <v>177</v>
      </c>
      <c r="M112" s="211">
        <f>+L112-A106</f>
        <v>-1</v>
      </c>
      <c r="N112" s="203" t="s">
        <v>831</v>
      </c>
    </row>
    <row r="113" spans="1:12" ht="15.75">
      <c r="A113" s="212">
        <v>196</v>
      </c>
      <c r="B113" s="213" t="s">
        <v>50</v>
      </c>
      <c r="C113" s="209">
        <v>2357395</v>
      </c>
      <c r="D113" s="209">
        <v>0</v>
      </c>
      <c r="E113" s="215">
        <f t="shared" si="1"/>
        <v>2357395</v>
      </c>
      <c r="F113" s="213" t="s">
        <v>222</v>
      </c>
      <c r="G113" s="213" t="s">
        <v>32</v>
      </c>
      <c r="H113" s="213" t="s">
        <v>13</v>
      </c>
      <c r="I113" s="213" t="s">
        <v>33</v>
      </c>
      <c r="L113" s="208">
        <v>178</v>
      </c>
    </row>
    <row r="114" spans="1:12" ht="15.75">
      <c r="A114" s="212">
        <v>197</v>
      </c>
      <c r="B114" s="213" t="s">
        <v>51</v>
      </c>
      <c r="C114" s="209">
        <v>81243</v>
      </c>
      <c r="D114" s="209">
        <v>0</v>
      </c>
      <c r="E114" s="215">
        <f t="shared" si="1"/>
        <v>81243</v>
      </c>
      <c r="F114" s="213" t="s">
        <v>222</v>
      </c>
      <c r="G114" s="213" t="s">
        <v>22</v>
      </c>
      <c r="H114" s="213" t="s">
        <v>23</v>
      </c>
      <c r="I114" s="213" t="s">
        <v>52</v>
      </c>
      <c r="L114" s="208">
        <v>182</v>
      </c>
    </row>
    <row r="115" spans="1:12" ht="15.75">
      <c r="A115" s="212">
        <v>199</v>
      </c>
      <c r="B115" s="213" t="s">
        <v>53</v>
      </c>
      <c r="C115" s="209">
        <v>5764969</v>
      </c>
      <c r="D115" s="209">
        <v>0</v>
      </c>
      <c r="E115" s="215">
        <f t="shared" si="1"/>
        <v>5764969</v>
      </c>
      <c r="F115" s="213" t="s">
        <v>222</v>
      </c>
      <c r="G115" s="213" t="s">
        <v>32</v>
      </c>
      <c r="H115" s="213" t="s">
        <v>13</v>
      </c>
      <c r="I115" s="213" t="s">
        <v>33</v>
      </c>
      <c r="L115" s="208">
        <v>183</v>
      </c>
    </row>
    <row r="116" spans="1:12" ht="15.75">
      <c r="A116" s="212">
        <v>200</v>
      </c>
      <c r="B116" s="213" t="s">
        <v>88</v>
      </c>
      <c r="C116" s="209">
        <v>19750007</v>
      </c>
      <c r="D116" s="209">
        <v>0</v>
      </c>
      <c r="E116" s="215">
        <f t="shared" si="1"/>
        <v>19750007</v>
      </c>
      <c r="F116" s="213" t="s">
        <v>222</v>
      </c>
      <c r="G116" s="213" t="s">
        <v>32</v>
      </c>
      <c r="H116" s="213" t="s">
        <v>13</v>
      </c>
      <c r="I116" s="213" t="s">
        <v>33</v>
      </c>
      <c r="L116" s="208">
        <v>185</v>
      </c>
    </row>
    <row r="117" spans="1:12" ht="15.75">
      <c r="A117" s="212">
        <v>201</v>
      </c>
      <c r="B117" s="213" t="s">
        <v>89</v>
      </c>
      <c r="C117" s="209">
        <v>53624</v>
      </c>
      <c r="D117" s="209">
        <v>0</v>
      </c>
      <c r="E117" s="215">
        <f t="shared" si="1"/>
        <v>53624</v>
      </c>
      <c r="F117" s="213" t="s">
        <v>222</v>
      </c>
      <c r="G117" s="213" t="s">
        <v>32</v>
      </c>
      <c r="H117" s="213" t="s">
        <v>13</v>
      </c>
      <c r="I117" s="213" t="s">
        <v>33</v>
      </c>
      <c r="L117" s="208">
        <v>187</v>
      </c>
    </row>
    <row r="118" spans="1:12" ht="15.75">
      <c r="A118" s="212">
        <v>202</v>
      </c>
      <c r="B118" s="213" t="s">
        <v>90</v>
      </c>
      <c r="C118" s="209">
        <v>73759</v>
      </c>
      <c r="D118" s="209">
        <v>0</v>
      </c>
      <c r="E118" s="215">
        <f t="shared" si="1"/>
        <v>73759</v>
      </c>
      <c r="F118" s="213" t="s">
        <v>222</v>
      </c>
      <c r="G118" s="213" t="s">
        <v>32</v>
      </c>
      <c r="H118" s="213" t="s">
        <v>13</v>
      </c>
      <c r="I118" s="213" t="s">
        <v>33</v>
      </c>
      <c r="L118" s="208">
        <v>189</v>
      </c>
    </row>
    <row r="119" spans="1:14" ht="15.75">
      <c r="A119" s="212">
        <v>203</v>
      </c>
      <c r="B119" s="213" t="s">
        <v>54</v>
      </c>
      <c r="C119" s="209">
        <v>3156079</v>
      </c>
      <c r="D119" s="209">
        <v>0</v>
      </c>
      <c r="E119" s="215">
        <f t="shared" si="1"/>
        <v>3156079</v>
      </c>
      <c r="F119" s="213" t="s">
        <v>222</v>
      </c>
      <c r="G119" s="213" t="s">
        <v>32</v>
      </c>
      <c r="H119" s="213" t="s">
        <v>13</v>
      </c>
      <c r="I119" s="213" t="s">
        <v>33</v>
      </c>
      <c r="L119" s="208">
        <v>191</v>
      </c>
      <c r="M119" s="211">
        <f>+L119-A112</f>
        <v>-3</v>
      </c>
      <c r="N119" s="203" t="s">
        <v>831</v>
      </c>
    </row>
    <row r="120" spans="1:12" ht="15.75">
      <c r="A120" s="212">
        <v>204</v>
      </c>
      <c r="B120" s="213" t="s">
        <v>91</v>
      </c>
      <c r="C120" s="209">
        <v>1822904</v>
      </c>
      <c r="D120" s="209">
        <v>0</v>
      </c>
      <c r="E120" s="215">
        <f t="shared" si="1"/>
        <v>1822904</v>
      </c>
      <c r="F120" s="213" t="s">
        <v>222</v>
      </c>
      <c r="G120" s="213" t="s">
        <v>32</v>
      </c>
      <c r="H120" s="213" t="s">
        <v>13</v>
      </c>
      <c r="I120" s="213" t="s">
        <v>33</v>
      </c>
      <c r="L120" s="208">
        <v>194</v>
      </c>
    </row>
    <row r="121" spans="1:12" ht="15.75">
      <c r="A121" s="212">
        <v>205</v>
      </c>
      <c r="B121" s="213" t="s">
        <v>92</v>
      </c>
      <c r="C121" s="209">
        <v>1965141</v>
      </c>
      <c r="D121" s="209">
        <v>0</v>
      </c>
      <c r="E121" s="215">
        <f t="shared" si="1"/>
        <v>1965141</v>
      </c>
      <c r="F121" s="213" t="s">
        <v>222</v>
      </c>
      <c r="G121" s="213" t="s">
        <v>32</v>
      </c>
      <c r="H121" s="213" t="s">
        <v>13</v>
      </c>
      <c r="I121" s="213" t="s">
        <v>33</v>
      </c>
      <c r="L121" s="208">
        <v>196</v>
      </c>
    </row>
    <row r="122" spans="1:12" ht="15.75">
      <c r="A122" s="212">
        <v>206</v>
      </c>
      <c r="B122" s="213" t="s">
        <v>93</v>
      </c>
      <c r="C122" s="209">
        <v>1877196</v>
      </c>
      <c r="D122" s="209">
        <v>0</v>
      </c>
      <c r="E122" s="215">
        <f t="shared" si="1"/>
        <v>1877196</v>
      </c>
      <c r="F122" s="213" t="s">
        <v>222</v>
      </c>
      <c r="G122" s="213" t="s">
        <v>22</v>
      </c>
      <c r="H122" s="213" t="s">
        <v>23</v>
      </c>
      <c r="I122" s="213" t="s">
        <v>42</v>
      </c>
      <c r="L122" s="208">
        <v>197</v>
      </c>
    </row>
    <row r="123" spans="1:12" ht="15.75">
      <c r="A123" s="212">
        <v>208</v>
      </c>
      <c r="B123" s="213" t="s">
        <v>55</v>
      </c>
      <c r="C123" s="209">
        <v>6305145</v>
      </c>
      <c r="D123" s="209">
        <v>0</v>
      </c>
      <c r="E123" s="215">
        <f t="shared" si="1"/>
        <v>6305145</v>
      </c>
      <c r="F123" s="213" t="s">
        <v>222</v>
      </c>
      <c r="G123" s="213" t="s">
        <v>32</v>
      </c>
      <c r="H123" s="213" t="s">
        <v>13</v>
      </c>
      <c r="I123" s="213" t="s">
        <v>33</v>
      </c>
      <c r="L123" s="208">
        <v>199</v>
      </c>
    </row>
    <row r="124" spans="1:12" ht="15.75">
      <c r="A124" s="212">
        <v>209</v>
      </c>
      <c r="B124" s="213" t="s">
        <v>56</v>
      </c>
      <c r="C124" s="209">
        <v>505450</v>
      </c>
      <c r="D124" s="209">
        <v>0</v>
      </c>
      <c r="E124" s="215">
        <f t="shared" si="1"/>
        <v>505450</v>
      </c>
      <c r="F124" s="213" t="s">
        <v>222</v>
      </c>
      <c r="G124" s="213" t="s">
        <v>32</v>
      </c>
      <c r="H124" s="213" t="s">
        <v>13</v>
      </c>
      <c r="I124" s="213" t="s">
        <v>33</v>
      </c>
      <c r="L124" s="208">
        <v>200</v>
      </c>
    </row>
    <row r="125" spans="1:12" ht="15.75">
      <c r="A125" s="212">
        <v>210</v>
      </c>
      <c r="B125" s="213" t="s">
        <v>57</v>
      </c>
      <c r="C125" s="209">
        <v>3335606</v>
      </c>
      <c r="D125" s="209">
        <v>0</v>
      </c>
      <c r="E125" s="215">
        <f t="shared" si="1"/>
        <v>3335606</v>
      </c>
      <c r="F125" s="213" t="s">
        <v>222</v>
      </c>
      <c r="G125" s="213" t="s">
        <v>32</v>
      </c>
      <c r="H125" s="213" t="s">
        <v>13</v>
      </c>
      <c r="I125" s="213" t="s">
        <v>33</v>
      </c>
      <c r="L125" s="208">
        <v>201</v>
      </c>
    </row>
    <row r="126" spans="1:12" ht="15.75">
      <c r="A126" s="212">
        <v>211</v>
      </c>
      <c r="B126" s="213" t="s">
        <v>94</v>
      </c>
      <c r="C126" s="209">
        <v>907266</v>
      </c>
      <c r="D126" s="209">
        <v>0</v>
      </c>
      <c r="E126" s="215">
        <f t="shared" si="1"/>
        <v>907266</v>
      </c>
      <c r="F126" s="213" t="s">
        <v>222</v>
      </c>
      <c r="G126" s="213" t="s">
        <v>32</v>
      </c>
      <c r="H126" s="213" t="s">
        <v>13</v>
      </c>
      <c r="I126" s="213" t="s">
        <v>33</v>
      </c>
      <c r="L126" s="208">
        <v>202</v>
      </c>
    </row>
    <row r="127" spans="1:12" ht="15.75">
      <c r="A127" s="212">
        <v>212</v>
      </c>
      <c r="B127" s="213" t="s">
        <v>95</v>
      </c>
      <c r="C127" s="209">
        <v>128907</v>
      </c>
      <c r="D127" s="209">
        <v>0</v>
      </c>
      <c r="E127" s="215">
        <f t="shared" si="1"/>
        <v>128907</v>
      </c>
      <c r="F127" s="213" t="s">
        <v>222</v>
      </c>
      <c r="G127" s="213" t="s">
        <v>32</v>
      </c>
      <c r="H127" s="213" t="s">
        <v>13</v>
      </c>
      <c r="I127" s="213" t="s">
        <v>33</v>
      </c>
      <c r="L127" s="208">
        <v>203</v>
      </c>
    </row>
    <row r="128" spans="1:12" ht="15.75">
      <c r="A128" s="212">
        <v>213</v>
      </c>
      <c r="B128" s="213" t="s">
        <v>96</v>
      </c>
      <c r="C128" s="209">
        <v>152351</v>
      </c>
      <c r="D128" s="209">
        <v>0</v>
      </c>
      <c r="E128" s="215">
        <f t="shared" si="1"/>
        <v>152351</v>
      </c>
      <c r="F128" s="213" t="s">
        <v>222</v>
      </c>
      <c r="G128" s="213" t="s">
        <v>32</v>
      </c>
      <c r="H128" s="213" t="s">
        <v>13</v>
      </c>
      <c r="I128" s="213" t="s">
        <v>33</v>
      </c>
      <c r="L128" s="208">
        <v>204</v>
      </c>
    </row>
    <row r="129" spans="1:12" ht="15.75">
      <c r="A129" s="212">
        <v>214</v>
      </c>
      <c r="B129" s="213" t="s">
        <v>58</v>
      </c>
      <c r="C129" s="209">
        <v>669892</v>
      </c>
      <c r="D129" s="209">
        <v>0</v>
      </c>
      <c r="E129" s="215">
        <f t="shared" si="1"/>
        <v>669892</v>
      </c>
      <c r="F129" s="213" t="s">
        <v>222</v>
      </c>
      <c r="G129" s="213" t="s">
        <v>12</v>
      </c>
      <c r="H129" s="213" t="s">
        <v>13</v>
      </c>
      <c r="I129" s="213" t="s">
        <v>14</v>
      </c>
      <c r="L129" s="208">
        <v>205</v>
      </c>
    </row>
    <row r="130" spans="1:12" ht="15.75">
      <c r="A130" s="212">
        <v>215</v>
      </c>
      <c r="B130" s="213" t="s">
        <v>97</v>
      </c>
      <c r="C130" s="209">
        <v>3544211</v>
      </c>
      <c r="D130" s="209">
        <v>0</v>
      </c>
      <c r="E130" s="215">
        <f aca="true" t="shared" si="2" ref="E130:E205">+C130-D130</f>
        <v>3544211</v>
      </c>
      <c r="F130" s="213" t="s">
        <v>222</v>
      </c>
      <c r="G130" s="213" t="s">
        <v>32</v>
      </c>
      <c r="H130" s="213" t="s">
        <v>13</v>
      </c>
      <c r="I130" s="213" t="s">
        <v>33</v>
      </c>
      <c r="L130" s="208">
        <v>206</v>
      </c>
    </row>
    <row r="131" spans="1:12" ht="15.75">
      <c r="A131" s="212">
        <v>216</v>
      </c>
      <c r="B131" s="213" t="s">
        <v>59</v>
      </c>
      <c r="C131" s="209">
        <v>2775362</v>
      </c>
      <c r="D131" s="209">
        <v>0</v>
      </c>
      <c r="E131" s="215">
        <f t="shared" si="2"/>
        <v>2775362</v>
      </c>
      <c r="F131" s="213" t="s">
        <v>222</v>
      </c>
      <c r="G131" s="213" t="s">
        <v>12</v>
      </c>
      <c r="H131" s="213" t="s">
        <v>13</v>
      </c>
      <c r="I131" s="213" t="s">
        <v>14</v>
      </c>
      <c r="L131" s="208">
        <v>208</v>
      </c>
    </row>
    <row r="132" spans="1:12" ht="15.75">
      <c r="A132" s="212">
        <v>219</v>
      </c>
      <c r="B132" s="213" t="s">
        <v>98</v>
      </c>
      <c r="C132" s="209">
        <v>1107719</v>
      </c>
      <c r="D132" s="209">
        <v>0</v>
      </c>
      <c r="E132" s="215">
        <f t="shared" si="2"/>
        <v>1107719</v>
      </c>
      <c r="F132" s="213" t="s">
        <v>222</v>
      </c>
      <c r="G132" s="213" t="s">
        <v>32</v>
      </c>
      <c r="H132" s="213" t="s">
        <v>13</v>
      </c>
      <c r="I132" s="213" t="s">
        <v>33</v>
      </c>
      <c r="L132" s="208">
        <v>209</v>
      </c>
    </row>
    <row r="133" spans="1:12" ht="15.75">
      <c r="A133" s="212">
        <v>220</v>
      </c>
      <c r="B133" s="213" t="s">
        <v>60</v>
      </c>
      <c r="C133" s="209">
        <v>66162</v>
      </c>
      <c r="D133" s="209">
        <v>0</v>
      </c>
      <c r="E133" s="215">
        <f t="shared" si="2"/>
        <v>66162</v>
      </c>
      <c r="F133" s="213" t="s">
        <v>222</v>
      </c>
      <c r="G133" s="213" t="s">
        <v>32</v>
      </c>
      <c r="H133" s="213" t="s">
        <v>13</v>
      </c>
      <c r="I133" s="213" t="s">
        <v>33</v>
      </c>
      <c r="L133" s="208">
        <v>210</v>
      </c>
    </row>
    <row r="134" spans="1:12" ht="15.75">
      <c r="A134" s="212">
        <v>222</v>
      </c>
      <c r="B134" s="213" t="s">
        <v>99</v>
      </c>
      <c r="C134" s="209">
        <v>5369197</v>
      </c>
      <c r="D134" s="209">
        <v>0</v>
      </c>
      <c r="E134" s="215">
        <f t="shared" si="2"/>
        <v>5369197</v>
      </c>
      <c r="F134" s="213" t="s">
        <v>222</v>
      </c>
      <c r="G134" s="213" t="s">
        <v>32</v>
      </c>
      <c r="H134" s="213" t="s">
        <v>13</v>
      </c>
      <c r="I134" s="213" t="s">
        <v>33</v>
      </c>
      <c r="L134" s="208">
        <v>211</v>
      </c>
    </row>
    <row r="135" spans="1:12" ht="15.75">
      <c r="A135" s="212">
        <v>223</v>
      </c>
      <c r="B135" s="213" t="s">
        <v>100</v>
      </c>
      <c r="C135" s="209">
        <v>1355317.75</v>
      </c>
      <c r="D135" s="209">
        <v>0</v>
      </c>
      <c r="E135" s="215">
        <f t="shared" si="2"/>
        <v>1355317.75</v>
      </c>
      <c r="F135" s="213" t="s">
        <v>222</v>
      </c>
      <c r="G135" s="213" t="s">
        <v>32</v>
      </c>
      <c r="H135" s="213" t="s">
        <v>13</v>
      </c>
      <c r="I135" s="213" t="s">
        <v>33</v>
      </c>
      <c r="L135" s="208">
        <v>212</v>
      </c>
    </row>
    <row r="136" spans="1:12" ht="15.75">
      <c r="A136" s="212">
        <v>224</v>
      </c>
      <c r="B136" s="213" t="s">
        <v>101</v>
      </c>
      <c r="C136" s="209">
        <v>130906</v>
      </c>
      <c r="D136" s="209">
        <v>0</v>
      </c>
      <c r="E136" s="215">
        <f t="shared" si="2"/>
        <v>130906</v>
      </c>
      <c r="F136" s="213" t="s">
        <v>222</v>
      </c>
      <c r="G136" s="213" t="s">
        <v>32</v>
      </c>
      <c r="H136" s="213" t="s">
        <v>13</v>
      </c>
      <c r="I136" s="213" t="s">
        <v>33</v>
      </c>
      <c r="L136" s="208">
        <v>213</v>
      </c>
    </row>
    <row r="137" spans="1:12" ht="15.75">
      <c r="A137" s="212">
        <v>226</v>
      </c>
      <c r="B137" s="213" t="s">
        <v>102</v>
      </c>
      <c r="C137" s="209">
        <v>0</v>
      </c>
      <c r="D137" s="209">
        <v>260502</v>
      </c>
      <c r="E137" s="215">
        <f t="shared" si="2"/>
        <v>-260502</v>
      </c>
      <c r="F137" s="213" t="s">
        <v>222</v>
      </c>
      <c r="G137" s="213" t="s">
        <v>79</v>
      </c>
      <c r="H137" s="213" t="s">
        <v>23</v>
      </c>
      <c r="I137" s="213" t="s">
        <v>103</v>
      </c>
      <c r="L137" s="208">
        <v>214</v>
      </c>
    </row>
    <row r="138" spans="1:12" ht="15.75">
      <c r="A138" s="212">
        <v>233</v>
      </c>
      <c r="B138" s="213" t="s">
        <v>104</v>
      </c>
      <c r="C138" s="209">
        <v>0</v>
      </c>
      <c r="D138" s="209">
        <v>1008165.5</v>
      </c>
      <c r="E138" s="215">
        <f t="shared" si="2"/>
        <v>-1008165.5</v>
      </c>
      <c r="F138" s="213" t="s">
        <v>222</v>
      </c>
      <c r="G138" s="213" t="s">
        <v>62</v>
      </c>
      <c r="H138" s="213" t="s">
        <v>23</v>
      </c>
      <c r="I138" s="213" t="s">
        <v>44</v>
      </c>
      <c r="L138" s="208">
        <v>215</v>
      </c>
    </row>
    <row r="139" spans="1:12" ht="15.75">
      <c r="A139" s="212">
        <v>239</v>
      </c>
      <c r="B139" s="213" t="s">
        <v>65</v>
      </c>
      <c r="C139" s="209">
        <v>1122434</v>
      </c>
      <c r="D139" s="209">
        <v>0</v>
      </c>
      <c r="E139" s="215">
        <f t="shared" si="2"/>
        <v>1122434</v>
      </c>
      <c r="F139" s="213" t="s">
        <v>222</v>
      </c>
      <c r="G139" s="213" t="s">
        <v>32</v>
      </c>
      <c r="H139" s="213" t="s">
        <v>13</v>
      </c>
      <c r="I139" s="213" t="s">
        <v>33</v>
      </c>
      <c r="L139" s="208">
        <v>216</v>
      </c>
    </row>
    <row r="140" spans="1:12" ht="15.75">
      <c r="A140" s="212">
        <v>242</v>
      </c>
      <c r="B140" s="213" t="s">
        <v>66</v>
      </c>
      <c r="C140" s="209">
        <v>1876238</v>
      </c>
      <c r="D140" s="209">
        <v>0</v>
      </c>
      <c r="E140" s="215">
        <f t="shared" si="2"/>
        <v>1876238</v>
      </c>
      <c r="F140" s="213" t="s">
        <v>222</v>
      </c>
      <c r="G140" s="213" t="s">
        <v>32</v>
      </c>
      <c r="H140" s="213" t="s">
        <v>13</v>
      </c>
      <c r="I140" s="213" t="s">
        <v>33</v>
      </c>
      <c r="L140" s="208">
        <v>219</v>
      </c>
    </row>
    <row r="141" spans="1:12" ht="15.75">
      <c r="A141" s="212">
        <v>255</v>
      </c>
      <c r="B141" s="213" t="s">
        <v>105</v>
      </c>
      <c r="C141" s="209">
        <v>0</v>
      </c>
      <c r="D141" s="209">
        <v>144950</v>
      </c>
      <c r="E141" s="215">
        <f t="shared" si="2"/>
        <v>-144950</v>
      </c>
      <c r="F141" s="213" t="s">
        <v>222</v>
      </c>
      <c r="G141" s="213" t="s">
        <v>106</v>
      </c>
      <c r="H141" s="213" t="s">
        <v>13</v>
      </c>
      <c r="I141" s="213" t="s">
        <v>107</v>
      </c>
      <c r="L141" s="208">
        <v>220</v>
      </c>
    </row>
    <row r="142" spans="1:12" ht="15.75">
      <c r="A142" s="212">
        <v>256</v>
      </c>
      <c r="B142" s="208" t="s">
        <v>844</v>
      </c>
      <c r="C142" s="209">
        <v>3370076</v>
      </c>
      <c r="D142" s="209">
        <v>0</v>
      </c>
      <c r="E142" s="216">
        <f t="shared" si="2"/>
        <v>3370076</v>
      </c>
      <c r="F142" s="213" t="s">
        <v>815</v>
      </c>
      <c r="G142" s="213"/>
      <c r="H142" s="213"/>
      <c r="I142" s="213"/>
      <c r="L142" s="208">
        <v>222</v>
      </c>
    </row>
    <row r="143" spans="1:12" ht="15.75">
      <c r="A143" s="212">
        <v>257</v>
      </c>
      <c r="B143" s="208" t="s">
        <v>845</v>
      </c>
      <c r="C143" s="209">
        <v>1577623</v>
      </c>
      <c r="D143" s="209">
        <v>0</v>
      </c>
      <c r="E143" s="216">
        <f t="shared" si="2"/>
        <v>1577623</v>
      </c>
      <c r="F143" s="213" t="s">
        <v>815</v>
      </c>
      <c r="G143" s="213"/>
      <c r="H143" s="213"/>
      <c r="I143" s="213"/>
      <c r="L143" s="208">
        <v>223</v>
      </c>
    </row>
    <row r="144" spans="1:12" ht="15.75">
      <c r="A144" s="212">
        <v>258</v>
      </c>
      <c r="B144" s="213" t="s">
        <v>108</v>
      </c>
      <c r="C144" s="209">
        <v>20844443</v>
      </c>
      <c r="D144" s="209">
        <v>0</v>
      </c>
      <c r="E144" s="215">
        <f t="shared" si="2"/>
        <v>20844443</v>
      </c>
      <c r="F144" s="213" t="s">
        <v>222</v>
      </c>
      <c r="G144" s="213" t="s">
        <v>32</v>
      </c>
      <c r="H144" s="213" t="s">
        <v>13</v>
      </c>
      <c r="I144" s="213" t="s">
        <v>33</v>
      </c>
      <c r="L144" s="208">
        <v>224</v>
      </c>
    </row>
    <row r="145" spans="1:12" ht="15.75">
      <c r="A145" s="212">
        <v>259</v>
      </c>
      <c r="B145" s="213" t="s">
        <v>109</v>
      </c>
      <c r="C145" s="209">
        <v>8357686</v>
      </c>
      <c r="D145" s="209">
        <v>0</v>
      </c>
      <c r="E145" s="215">
        <f t="shared" si="2"/>
        <v>8357686</v>
      </c>
      <c r="F145" s="213" t="s">
        <v>222</v>
      </c>
      <c r="G145" s="213" t="s">
        <v>32</v>
      </c>
      <c r="H145" s="213" t="s">
        <v>13</v>
      </c>
      <c r="I145" s="213" t="s">
        <v>33</v>
      </c>
      <c r="L145" s="208">
        <v>226</v>
      </c>
    </row>
    <row r="146" spans="1:14" ht="15.75">
      <c r="A146" s="212">
        <v>260</v>
      </c>
      <c r="B146" s="213" t="s">
        <v>110</v>
      </c>
      <c r="C146" s="209">
        <v>3819</v>
      </c>
      <c r="D146" s="209">
        <v>0</v>
      </c>
      <c r="E146" s="215">
        <f t="shared" si="2"/>
        <v>3819</v>
      </c>
      <c r="F146" s="213" t="s">
        <v>222</v>
      </c>
      <c r="G146" s="213" t="s">
        <v>22</v>
      </c>
      <c r="H146" s="213" t="s">
        <v>23</v>
      </c>
      <c r="I146" s="213" t="s">
        <v>52</v>
      </c>
      <c r="L146" s="208">
        <v>227</v>
      </c>
      <c r="M146" s="211">
        <f>+L146-A138</f>
        <v>-6</v>
      </c>
      <c r="N146" s="203" t="s">
        <v>831</v>
      </c>
    </row>
    <row r="147" spans="1:12" ht="15.75">
      <c r="A147" s="212">
        <v>265</v>
      </c>
      <c r="B147" s="213" t="s">
        <v>111</v>
      </c>
      <c r="C147" s="209">
        <v>0</v>
      </c>
      <c r="D147" s="209">
        <v>350895</v>
      </c>
      <c r="E147" s="215">
        <f t="shared" si="2"/>
        <v>-350895</v>
      </c>
      <c r="F147" s="213" t="s">
        <v>222</v>
      </c>
      <c r="G147" s="213" t="s">
        <v>62</v>
      </c>
      <c r="H147" s="213" t="s">
        <v>23</v>
      </c>
      <c r="I147" s="213" t="s">
        <v>44</v>
      </c>
      <c r="L147" s="208">
        <v>233</v>
      </c>
    </row>
    <row r="148" spans="1:12" ht="15.75">
      <c r="A148" s="212">
        <v>269</v>
      </c>
      <c r="B148" s="208" t="s">
        <v>846</v>
      </c>
      <c r="C148" s="209">
        <v>10449</v>
      </c>
      <c r="D148" s="209">
        <v>0</v>
      </c>
      <c r="E148" s="216">
        <f t="shared" si="2"/>
        <v>10449</v>
      </c>
      <c r="F148" s="213" t="s">
        <v>815</v>
      </c>
      <c r="G148" s="213"/>
      <c r="H148" s="213"/>
      <c r="I148" s="213"/>
      <c r="L148" s="208">
        <v>239</v>
      </c>
    </row>
    <row r="149" spans="1:12" ht="15.75">
      <c r="A149" s="212">
        <v>270</v>
      </c>
      <c r="B149" s="213" t="s">
        <v>112</v>
      </c>
      <c r="C149" s="209">
        <v>118284</v>
      </c>
      <c r="D149" s="209">
        <v>0</v>
      </c>
      <c r="E149" s="215">
        <f t="shared" si="2"/>
        <v>118284</v>
      </c>
      <c r="F149" s="213" t="s">
        <v>222</v>
      </c>
      <c r="G149" s="213" t="s">
        <v>12</v>
      </c>
      <c r="H149" s="213" t="s">
        <v>13</v>
      </c>
      <c r="I149" s="213" t="s">
        <v>14</v>
      </c>
      <c r="L149" s="208">
        <v>242</v>
      </c>
    </row>
    <row r="150" spans="1:14" ht="15.75">
      <c r="A150" s="212">
        <v>271</v>
      </c>
      <c r="B150" s="208" t="s">
        <v>847</v>
      </c>
      <c r="C150" s="209">
        <v>8000</v>
      </c>
      <c r="D150" s="209">
        <v>0</v>
      </c>
      <c r="E150" s="216">
        <f t="shared" si="2"/>
        <v>8000</v>
      </c>
      <c r="F150" s="213" t="s">
        <v>815</v>
      </c>
      <c r="G150" s="213"/>
      <c r="H150" s="213"/>
      <c r="I150" s="213"/>
      <c r="L150" s="208">
        <v>243</v>
      </c>
      <c r="M150" s="211">
        <f>+L150-A141</f>
        <v>-12</v>
      </c>
      <c r="N150" s="203" t="s">
        <v>832</v>
      </c>
    </row>
    <row r="151" spans="1:12" ht="15.75">
      <c r="A151" s="212">
        <v>276</v>
      </c>
      <c r="B151" s="213" t="s">
        <v>113</v>
      </c>
      <c r="C151" s="209">
        <v>4278077</v>
      </c>
      <c r="D151" s="209">
        <v>0</v>
      </c>
      <c r="E151" s="214">
        <f t="shared" si="2"/>
        <v>4278077</v>
      </c>
      <c r="F151" s="213" t="s">
        <v>222</v>
      </c>
      <c r="G151" s="213" t="s">
        <v>29</v>
      </c>
      <c r="H151" s="213" t="s">
        <v>23</v>
      </c>
      <c r="I151" s="213" t="s">
        <v>30</v>
      </c>
      <c r="L151" s="208">
        <v>255</v>
      </c>
    </row>
    <row r="152" spans="1:12" ht="15.75">
      <c r="A152" s="212">
        <v>283</v>
      </c>
      <c r="B152" s="213" t="s">
        <v>114</v>
      </c>
      <c r="C152" s="209">
        <v>4677837</v>
      </c>
      <c r="D152" s="209">
        <v>0</v>
      </c>
      <c r="E152" s="215">
        <f t="shared" si="2"/>
        <v>4677837</v>
      </c>
      <c r="F152" s="213" t="s">
        <v>222</v>
      </c>
      <c r="G152" s="213" t="s">
        <v>12</v>
      </c>
      <c r="H152" s="213" t="s">
        <v>13</v>
      </c>
      <c r="I152" s="213" t="s">
        <v>14</v>
      </c>
      <c r="L152" s="208">
        <v>256</v>
      </c>
    </row>
    <row r="153" spans="1:12" ht="15.75">
      <c r="A153" s="212">
        <v>285</v>
      </c>
      <c r="B153" s="208" t="s">
        <v>115</v>
      </c>
      <c r="C153" s="218">
        <v>0</v>
      </c>
      <c r="D153" s="218"/>
      <c r="E153" s="214">
        <f t="shared" si="2"/>
        <v>0</v>
      </c>
      <c r="F153" s="213" t="s">
        <v>815</v>
      </c>
      <c r="G153" s="213"/>
      <c r="H153" s="213"/>
      <c r="I153" s="213"/>
      <c r="L153" s="208">
        <v>257</v>
      </c>
    </row>
    <row r="154" spans="1:12" ht="15.75">
      <c r="A154" s="212">
        <v>286</v>
      </c>
      <c r="B154" s="213" t="s">
        <v>116</v>
      </c>
      <c r="C154" s="218">
        <v>3562</v>
      </c>
      <c r="D154" s="218">
        <v>0</v>
      </c>
      <c r="E154" s="215">
        <f t="shared" si="2"/>
        <v>3562</v>
      </c>
      <c r="F154" s="213" t="s">
        <v>222</v>
      </c>
      <c r="G154" s="213" t="s">
        <v>22</v>
      </c>
      <c r="H154" s="213" t="s">
        <v>23</v>
      </c>
      <c r="I154" s="213" t="s">
        <v>52</v>
      </c>
      <c r="L154" s="208">
        <v>258</v>
      </c>
    </row>
    <row r="155" spans="1:12" ht="15.75">
      <c r="A155" s="212">
        <v>295</v>
      </c>
      <c r="B155" s="213" t="s">
        <v>117</v>
      </c>
      <c r="C155" s="218">
        <v>0</v>
      </c>
      <c r="D155" s="218">
        <v>562500000</v>
      </c>
      <c r="E155" s="215">
        <f t="shared" si="2"/>
        <v>-562500000</v>
      </c>
      <c r="F155" s="213" t="s">
        <v>222</v>
      </c>
      <c r="G155" s="213" t="s">
        <v>118</v>
      </c>
      <c r="H155" s="213" t="s">
        <v>13</v>
      </c>
      <c r="I155" s="213" t="s">
        <v>119</v>
      </c>
      <c r="L155" s="208">
        <v>259</v>
      </c>
    </row>
    <row r="156" spans="1:12" ht="15.75">
      <c r="A156" s="212">
        <v>299</v>
      </c>
      <c r="B156" s="208" t="s">
        <v>848</v>
      </c>
      <c r="C156" s="218">
        <v>767569</v>
      </c>
      <c r="D156" s="218">
        <v>0</v>
      </c>
      <c r="E156" s="214">
        <f t="shared" si="2"/>
        <v>767569</v>
      </c>
      <c r="F156" s="213" t="s">
        <v>815</v>
      </c>
      <c r="G156" s="213"/>
      <c r="H156" s="213"/>
      <c r="I156" s="213"/>
      <c r="L156" s="208">
        <v>260</v>
      </c>
    </row>
    <row r="157" spans="1:12" ht="15.75">
      <c r="A157" s="212">
        <v>304</v>
      </c>
      <c r="B157" s="213" t="s">
        <v>147</v>
      </c>
      <c r="C157" s="218">
        <v>0</v>
      </c>
      <c r="D157" s="218">
        <v>4253350</v>
      </c>
      <c r="E157" s="215">
        <f t="shared" si="2"/>
        <v>-4253350</v>
      </c>
      <c r="F157" s="213" t="s">
        <v>222</v>
      </c>
      <c r="G157" s="213" t="s">
        <v>106</v>
      </c>
      <c r="H157" s="213" t="s">
        <v>13</v>
      </c>
      <c r="I157" s="213" t="s">
        <v>107</v>
      </c>
      <c r="L157" s="208">
        <v>265</v>
      </c>
    </row>
    <row r="158" spans="1:12" ht="15.75">
      <c r="A158" s="212">
        <v>305</v>
      </c>
      <c r="B158" s="213" t="s">
        <v>148</v>
      </c>
      <c r="C158" s="218">
        <v>0</v>
      </c>
      <c r="D158" s="218">
        <v>50338641</v>
      </c>
      <c r="E158" s="215">
        <f t="shared" si="2"/>
        <v>-50338641</v>
      </c>
      <c r="F158" s="213" t="s">
        <v>222</v>
      </c>
      <c r="G158" s="213" t="s">
        <v>106</v>
      </c>
      <c r="H158" s="213" t="s">
        <v>13</v>
      </c>
      <c r="I158" s="213" t="s">
        <v>107</v>
      </c>
      <c r="L158" s="208">
        <v>269</v>
      </c>
    </row>
    <row r="159" spans="1:12" ht="15.75">
      <c r="A159" s="212">
        <v>307</v>
      </c>
      <c r="B159" s="213" t="s">
        <v>149</v>
      </c>
      <c r="C159" s="218">
        <v>0</v>
      </c>
      <c r="D159" s="218">
        <v>17000</v>
      </c>
      <c r="E159" s="215">
        <f t="shared" si="2"/>
        <v>-17000</v>
      </c>
      <c r="F159" s="213" t="s">
        <v>222</v>
      </c>
      <c r="G159" s="213" t="s">
        <v>106</v>
      </c>
      <c r="H159" s="213" t="s">
        <v>13</v>
      </c>
      <c r="I159" s="213" t="s">
        <v>107</v>
      </c>
      <c r="L159" s="208">
        <v>270</v>
      </c>
    </row>
    <row r="160" spans="1:12" ht="15.75">
      <c r="A160" s="212">
        <v>310</v>
      </c>
      <c r="B160" s="213" t="s">
        <v>150</v>
      </c>
      <c r="C160" s="218">
        <v>0</v>
      </c>
      <c r="D160" s="218">
        <v>18900850</v>
      </c>
      <c r="E160" s="215">
        <f t="shared" si="2"/>
        <v>-18900850</v>
      </c>
      <c r="F160" s="213" t="s">
        <v>222</v>
      </c>
      <c r="G160" s="213" t="s">
        <v>106</v>
      </c>
      <c r="H160" s="213" t="s">
        <v>13</v>
      </c>
      <c r="I160" s="213" t="s">
        <v>107</v>
      </c>
      <c r="L160" s="208">
        <v>271</v>
      </c>
    </row>
    <row r="161" spans="1:14" ht="15.75">
      <c r="A161" s="212">
        <v>313</v>
      </c>
      <c r="B161" s="213" t="s">
        <v>151</v>
      </c>
      <c r="C161" s="218">
        <v>0</v>
      </c>
      <c r="D161" s="218">
        <v>17885</v>
      </c>
      <c r="E161" s="215">
        <f t="shared" si="2"/>
        <v>-17885</v>
      </c>
      <c r="F161" s="213" t="s">
        <v>222</v>
      </c>
      <c r="G161" s="213" t="s">
        <v>106</v>
      </c>
      <c r="H161" s="213" t="s">
        <v>13</v>
      </c>
      <c r="I161" s="213" t="s">
        <v>107</v>
      </c>
      <c r="L161" s="208">
        <v>277</v>
      </c>
      <c r="M161" s="211">
        <f>+L161-A151</f>
        <v>1</v>
      </c>
      <c r="N161" s="203" t="s">
        <v>831</v>
      </c>
    </row>
    <row r="162" spans="1:12" ht="15.75">
      <c r="A162" s="212">
        <v>315</v>
      </c>
      <c r="B162" s="213" t="s">
        <v>152</v>
      </c>
      <c r="C162" s="218">
        <v>0</v>
      </c>
      <c r="D162" s="218">
        <v>6439790</v>
      </c>
      <c r="E162" s="215">
        <f t="shared" si="2"/>
        <v>-6439790</v>
      </c>
      <c r="F162" s="213" t="s">
        <v>222</v>
      </c>
      <c r="G162" s="213" t="s">
        <v>106</v>
      </c>
      <c r="H162" s="213" t="s">
        <v>13</v>
      </c>
      <c r="I162" s="213" t="s">
        <v>107</v>
      </c>
      <c r="L162" s="208">
        <v>283</v>
      </c>
    </row>
    <row r="163" spans="1:12" ht="15.75">
      <c r="A163" s="212">
        <v>317</v>
      </c>
      <c r="B163" s="213" t="s">
        <v>153</v>
      </c>
      <c r="C163" s="218">
        <v>0</v>
      </c>
      <c r="D163" s="218">
        <v>78480561</v>
      </c>
      <c r="E163" s="215">
        <f t="shared" si="2"/>
        <v>-78480561</v>
      </c>
      <c r="F163" s="213" t="s">
        <v>222</v>
      </c>
      <c r="G163" s="213" t="s">
        <v>106</v>
      </c>
      <c r="H163" s="213" t="s">
        <v>13</v>
      </c>
      <c r="I163" s="213" t="s">
        <v>107</v>
      </c>
      <c r="L163" s="208">
        <v>285</v>
      </c>
    </row>
    <row r="164" spans="1:12" ht="15.75">
      <c r="A164" s="212">
        <v>320</v>
      </c>
      <c r="B164" s="213" t="s">
        <v>154</v>
      </c>
      <c r="C164" s="218">
        <v>0</v>
      </c>
      <c r="D164" s="218">
        <v>43150805</v>
      </c>
      <c r="E164" s="215">
        <f t="shared" si="2"/>
        <v>-43150805</v>
      </c>
      <c r="F164" s="213" t="s">
        <v>222</v>
      </c>
      <c r="G164" s="213" t="s">
        <v>106</v>
      </c>
      <c r="H164" s="213" t="s">
        <v>13</v>
      </c>
      <c r="I164" s="213" t="s">
        <v>107</v>
      </c>
      <c r="L164" s="208">
        <v>286</v>
      </c>
    </row>
    <row r="165" spans="1:14" ht="15.75">
      <c r="A165" s="212">
        <v>321</v>
      </c>
      <c r="B165" s="213" t="s">
        <v>155</v>
      </c>
      <c r="C165" s="218">
        <v>0</v>
      </c>
      <c r="D165" s="218">
        <v>2624400</v>
      </c>
      <c r="E165" s="215">
        <f t="shared" si="2"/>
        <v>-2624400</v>
      </c>
      <c r="F165" s="213" t="s">
        <v>222</v>
      </c>
      <c r="G165" s="213" t="s">
        <v>106</v>
      </c>
      <c r="H165" s="213" t="s">
        <v>13</v>
      </c>
      <c r="I165" s="213" t="s">
        <v>107</v>
      </c>
      <c r="L165" s="208">
        <v>287</v>
      </c>
      <c r="M165" s="211">
        <f>+L165-A155</f>
        <v>-8</v>
      </c>
      <c r="N165" s="203" t="s">
        <v>832</v>
      </c>
    </row>
    <row r="166" spans="1:14" ht="15.75">
      <c r="A166" s="212">
        <v>322</v>
      </c>
      <c r="B166" s="213" t="s">
        <v>156</v>
      </c>
      <c r="C166" s="218">
        <v>0</v>
      </c>
      <c r="D166" s="218">
        <v>19464395.5</v>
      </c>
      <c r="E166" s="215">
        <f t="shared" si="2"/>
        <v>-19464395.5</v>
      </c>
      <c r="F166" s="213" t="s">
        <v>222</v>
      </c>
      <c r="G166" s="213" t="s">
        <v>106</v>
      </c>
      <c r="H166" s="213" t="s">
        <v>13</v>
      </c>
      <c r="I166" s="213" t="s">
        <v>107</v>
      </c>
      <c r="L166" s="208">
        <v>288</v>
      </c>
      <c r="M166" s="211">
        <f>+L166-A156</f>
        <v>-11</v>
      </c>
      <c r="N166" s="203" t="s">
        <v>832</v>
      </c>
    </row>
    <row r="167" spans="1:12" ht="15.75">
      <c r="A167" s="212">
        <v>323</v>
      </c>
      <c r="B167" s="213" t="s">
        <v>157</v>
      </c>
      <c r="C167" s="218">
        <v>438998</v>
      </c>
      <c r="D167" s="218">
        <v>0</v>
      </c>
      <c r="E167" s="214">
        <f t="shared" si="2"/>
        <v>438998</v>
      </c>
      <c r="F167" s="213" t="s">
        <v>222</v>
      </c>
      <c r="G167" s="213" t="s">
        <v>29</v>
      </c>
      <c r="H167" s="213" t="s">
        <v>23</v>
      </c>
      <c r="I167" s="213" t="s">
        <v>158</v>
      </c>
      <c r="L167" s="208">
        <v>295</v>
      </c>
    </row>
    <row r="168" spans="1:12" ht="15.75">
      <c r="A168" s="212">
        <v>328</v>
      </c>
      <c r="B168" s="208" t="s">
        <v>849</v>
      </c>
      <c r="C168" s="219">
        <v>0</v>
      </c>
      <c r="D168" s="218"/>
      <c r="E168" s="214">
        <f t="shared" si="2"/>
        <v>0</v>
      </c>
      <c r="F168" s="213" t="s">
        <v>815</v>
      </c>
      <c r="G168" s="213"/>
      <c r="H168" s="213"/>
      <c r="I168" s="213"/>
      <c r="L168" s="208">
        <v>299</v>
      </c>
    </row>
    <row r="169" spans="1:12" ht="15.75">
      <c r="A169" s="212">
        <v>336</v>
      </c>
      <c r="B169" s="213" t="s">
        <v>159</v>
      </c>
      <c r="C169" s="218">
        <v>834792</v>
      </c>
      <c r="D169" s="218">
        <v>0</v>
      </c>
      <c r="E169" s="215">
        <f t="shared" si="2"/>
        <v>834792</v>
      </c>
      <c r="F169" s="213" t="s">
        <v>222</v>
      </c>
      <c r="G169" s="213" t="s">
        <v>32</v>
      </c>
      <c r="H169" s="213" t="s">
        <v>13</v>
      </c>
      <c r="I169" s="213" t="s">
        <v>33</v>
      </c>
      <c r="L169" s="208">
        <v>304</v>
      </c>
    </row>
    <row r="170" spans="1:12" ht="15.75">
      <c r="A170" s="212">
        <v>339</v>
      </c>
      <c r="B170" s="213" t="s">
        <v>160</v>
      </c>
      <c r="C170" s="218">
        <v>0</v>
      </c>
      <c r="D170" s="218">
        <v>3247575</v>
      </c>
      <c r="E170" s="215">
        <f t="shared" si="2"/>
        <v>-3247575</v>
      </c>
      <c r="F170" s="213" t="s">
        <v>222</v>
      </c>
      <c r="G170" s="213" t="s">
        <v>106</v>
      </c>
      <c r="H170" s="213" t="s">
        <v>13</v>
      </c>
      <c r="I170" s="213" t="s">
        <v>107</v>
      </c>
      <c r="L170" s="208">
        <v>305</v>
      </c>
    </row>
    <row r="171" spans="1:12" ht="15.75">
      <c r="A171" s="212">
        <v>342</v>
      </c>
      <c r="B171" s="213" t="s">
        <v>161</v>
      </c>
      <c r="C171" s="218">
        <v>0</v>
      </c>
      <c r="D171" s="218">
        <v>31401900</v>
      </c>
      <c r="E171" s="215">
        <f t="shared" si="2"/>
        <v>-31401900</v>
      </c>
      <c r="F171" s="213" t="s">
        <v>222</v>
      </c>
      <c r="G171" s="213" t="s">
        <v>106</v>
      </c>
      <c r="H171" s="213" t="s">
        <v>13</v>
      </c>
      <c r="I171" s="213" t="s">
        <v>107</v>
      </c>
      <c r="L171" s="208">
        <v>307</v>
      </c>
    </row>
    <row r="172" spans="1:12" ht="15.75">
      <c r="A172" s="212">
        <v>348</v>
      </c>
      <c r="B172" s="213" t="s">
        <v>162</v>
      </c>
      <c r="C172" s="218"/>
      <c r="D172" s="218">
        <v>0</v>
      </c>
      <c r="E172" s="220">
        <f t="shared" si="2"/>
        <v>0</v>
      </c>
      <c r="F172" s="213" t="s">
        <v>222</v>
      </c>
      <c r="G172" s="213" t="s">
        <v>106</v>
      </c>
      <c r="H172" s="213" t="s">
        <v>13</v>
      </c>
      <c r="I172" s="213" t="s">
        <v>107</v>
      </c>
      <c r="L172" s="208">
        <v>310</v>
      </c>
    </row>
    <row r="173" spans="1:12" ht="15.75">
      <c r="A173" s="212">
        <v>352</v>
      </c>
      <c r="B173" s="208" t="s">
        <v>850</v>
      </c>
      <c r="C173" s="218">
        <v>902082</v>
      </c>
      <c r="D173" s="218">
        <v>0</v>
      </c>
      <c r="E173" s="214">
        <f t="shared" si="2"/>
        <v>902082</v>
      </c>
      <c r="F173" s="213" t="s">
        <v>815</v>
      </c>
      <c r="G173" s="213"/>
      <c r="H173" s="213"/>
      <c r="I173" s="213"/>
      <c r="L173" s="208">
        <v>313</v>
      </c>
    </row>
    <row r="174" spans="1:12" ht="15.75">
      <c r="A174" s="212">
        <v>353</v>
      </c>
      <c r="B174" s="213" t="s">
        <v>163</v>
      </c>
      <c r="C174" s="218">
        <v>321300</v>
      </c>
      <c r="D174" s="218">
        <v>0</v>
      </c>
      <c r="E174" s="214">
        <f t="shared" si="2"/>
        <v>321300</v>
      </c>
      <c r="F174" s="213" t="s">
        <v>222</v>
      </c>
      <c r="G174" s="213" t="s">
        <v>29</v>
      </c>
      <c r="H174" s="213" t="s">
        <v>23</v>
      </c>
      <c r="I174" s="213" t="s">
        <v>158</v>
      </c>
      <c r="L174" s="208">
        <v>315</v>
      </c>
    </row>
    <row r="175" spans="1:12" ht="15.75">
      <c r="A175" s="212">
        <v>354</v>
      </c>
      <c r="B175" s="213" t="s">
        <v>164</v>
      </c>
      <c r="C175" s="218">
        <v>21491721</v>
      </c>
      <c r="D175" s="218">
        <v>0</v>
      </c>
      <c r="E175" s="214">
        <f t="shared" si="2"/>
        <v>21491721</v>
      </c>
      <c r="F175" s="213" t="s">
        <v>222</v>
      </c>
      <c r="G175" s="213" t="s">
        <v>29</v>
      </c>
      <c r="H175" s="213" t="s">
        <v>23</v>
      </c>
      <c r="I175" s="213" t="s">
        <v>158</v>
      </c>
      <c r="L175" s="208">
        <v>317</v>
      </c>
    </row>
    <row r="176" spans="1:14" ht="15.75">
      <c r="A176" s="212">
        <v>355</v>
      </c>
      <c r="B176" s="213" t="s">
        <v>165</v>
      </c>
      <c r="C176" s="218">
        <v>0</v>
      </c>
      <c r="D176" s="218">
        <v>6851655.7</v>
      </c>
      <c r="E176" s="215">
        <f t="shared" si="2"/>
        <v>-6851655.7</v>
      </c>
      <c r="F176" s="213" t="s">
        <v>222</v>
      </c>
      <c r="G176" s="213" t="s">
        <v>166</v>
      </c>
      <c r="H176" s="213" t="s">
        <v>13</v>
      </c>
      <c r="I176" s="213" t="s">
        <v>167</v>
      </c>
      <c r="L176" s="208">
        <v>318</v>
      </c>
      <c r="M176" s="211">
        <f>+L176-A164</f>
        <v>-2</v>
      </c>
      <c r="N176" s="203" t="s">
        <v>831</v>
      </c>
    </row>
    <row r="177" spans="1:12" ht="15.75">
      <c r="A177" s="212">
        <v>358</v>
      </c>
      <c r="B177" s="208" t="s">
        <v>851</v>
      </c>
      <c r="C177" s="218">
        <v>0</v>
      </c>
      <c r="D177" s="218">
        <v>23825</v>
      </c>
      <c r="E177" s="216">
        <f t="shared" si="2"/>
        <v>-23825</v>
      </c>
      <c r="F177" s="213" t="s">
        <v>815</v>
      </c>
      <c r="G177" s="213"/>
      <c r="H177" s="213"/>
      <c r="I177" s="213"/>
      <c r="L177" s="208">
        <v>320</v>
      </c>
    </row>
    <row r="178" spans="1:12" ht="15.75">
      <c r="A178" s="212">
        <v>361</v>
      </c>
      <c r="B178" s="213" t="s">
        <v>168</v>
      </c>
      <c r="C178" s="218">
        <v>0</v>
      </c>
      <c r="D178" s="218">
        <v>183952</v>
      </c>
      <c r="E178" s="215">
        <f t="shared" si="2"/>
        <v>-183952</v>
      </c>
      <c r="F178" s="213" t="s">
        <v>222</v>
      </c>
      <c r="G178" s="213" t="s">
        <v>166</v>
      </c>
      <c r="H178" s="213" t="s">
        <v>13</v>
      </c>
      <c r="I178" s="213" t="s">
        <v>169</v>
      </c>
      <c r="L178" s="208">
        <v>321</v>
      </c>
    </row>
    <row r="179" spans="1:12" ht="15.75">
      <c r="A179" s="212">
        <v>362</v>
      </c>
      <c r="B179" s="213" t="s">
        <v>170</v>
      </c>
      <c r="C179" s="218">
        <v>1324669</v>
      </c>
      <c r="D179" s="218">
        <v>0</v>
      </c>
      <c r="E179" s="214">
        <f t="shared" si="2"/>
        <v>1324669</v>
      </c>
      <c r="F179" s="213" t="s">
        <v>222</v>
      </c>
      <c r="G179" s="213" t="s">
        <v>29</v>
      </c>
      <c r="H179" s="213" t="s">
        <v>23</v>
      </c>
      <c r="I179" s="213" t="s">
        <v>158</v>
      </c>
      <c r="L179" s="208">
        <v>322</v>
      </c>
    </row>
    <row r="180" spans="1:12" ht="15.75">
      <c r="A180" s="212">
        <v>363</v>
      </c>
      <c r="B180" s="213" t="s">
        <v>171</v>
      </c>
      <c r="C180" s="218">
        <v>0</v>
      </c>
      <c r="D180" s="218">
        <v>1465994</v>
      </c>
      <c r="E180" s="215">
        <f t="shared" si="2"/>
        <v>-1465994</v>
      </c>
      <c r="F180" s="213" t="s">
        <v>222</v>
      </c>
      <c r="G180" s="213" t="s">
        <v>166</v>
      </c>
      <c r="H180" s="213" t="s">
        <v>13</v>
      </c>
      <c r="I180" s="213" t="s">
        <v>169</v>
      </c>
      <c r="L180" s="208">
        <v>328</v>
      </c>
    </row>
    <row r="181" spans="1:12" ht="15.75">
      <c r="A181" s="212">
        <v>365</v>
      </c>
      <c r="B181" s="213" t="s">
        <v>172</v>
      </c>
      <c r="C181" s="218">
        <v>0</v>
      </c>
      <c r="D181" s="218">
        <v>16484293</v>
      </c>
      <c r="E181" s="215">
        <f t="shared" si="2"/>
        <v>-16484293</v>
      </c>
      <c r="F181" s="213" t="s">
        <v>222</v>
      </c>
      <c r="G181" s="213" t="s">
        <v>173</v>
      </c>
      <c r="H181" s="213" t="s">
        <v>13</v>
      </c>
      <c r="I181" s="213" t="s">
        <v>174</v>
      </c>
      <c r="L181" s="208">
        <v>336</v>
      </c>
    </row>
    <row r="182" spans="1:14" ht="15.75">
      <c r="A182" s="212">
        <v>375</v>
      </c>
      <c r="B182" s="213" t="s">
        <v>175</v>
      </c>
      <c r="C182" s="218">
        <v>0</v>
      </c>
      <c r="D182" s="218">
        <v>14407650</v>
      </c>
      <c r="E182" s="215">
        <f t="shared" si="2"/>
        <v>-14407650</v>
      </c>
      <c r="F182" s="213" t="s">
        <v>222</v>
      </c>
      <c r="G182" s="213" t="s">
        <v>106</v>
      </c>
      <c r="H182" s="213" t="s">
        <v>13</v>
      </c>
      <c r="I182" s="213" t="s">
        <v>107</v>
      </c>
      <c r="L182" s="208">
        <v>338</v>
      </c>
      <c r="M182" s="211">
        <f>+L182-A170</f>
        <v>-1</v>
      </c>
      <c r="N182" s="203" t="s">
        <v>832</v>
      </c>
    </row>
    <row r="183" spans="1:12" ht="15.75">
      <c r="A183" s="212">
        <v>377</v>
      </c>
      <c r="B183" s="213" t="s">
        <v>178</v>
      </c>
      <c r="C183" s="218">
        <v>0</v>
      </c>
      <c r="D183" s="218">
        <v>275110</v>
      </c>
      <c r="E183" s="215">
        <f t="shared" si="2"/>
        <v>-275110</v>
      </c>
      <c r="F183" s="213" t="s">
        <v>222</v>
      </c>
      <c r="G183" s="213" t="s">
        <v>106</v>
      </c>
      <c r="H183" s="213" t="s">
        <v>13</v>
      </c>
      <c r="I183" s="213" t="s">
        <v>107</v>
      </c>
      <c r="L183" s="208">
        <v>339</v>
      </c>
    </row>
    <row r="184" spans="1:12" ht="15.75">
      <c r="A184" s="212">
        <v>380</v>
      </c>
      <c r="B184" s="213" t="s">
        <v>179</v>
      </c>
      <c r="C184" s="218">
        <v>0</v>
      </c>
      <c r="D184" s="218">
        <v>227470</v>
      </c>
      <c r="E184" s="215">
        <f t="shared" si="2"/>
        <v>-227470</v>
      </c>
      <c r="F184" s="213" t="s">
        <v>222</v>
      </c>
      <c r="G184" s="213" t="s">
        <v>106</v>
      </c>
      <c r="H184" s="213" t="s">
        <v>13</v>
      </c>
      <c r="I184" s="213" t="s">
        <v>107</v>
      </c>
      <c r="L184" s="208">
        <v>342</v>
      </c>
    </row>
    <row r="185" spans="1:12" ht="15.75">
      <c r="A185" s="212">
        <v>381</v>
      </c>
      <c r="B185" s="213" t="s">
        <v>180</v>
      </c>
      <c r="C185" s="218"/>
      <c r="D185" s="218">
        <v>0</v>
      </c>
      <c r="E185" s="220">
        <f t="shared" si="2"/>
        <v>0</v>
      </c>
      <c r="F185" s="213" t="s">
        <v>222</v>
      </c>
      <c r="G185" s="213" t="s">
        <v>29</v>
      </c>
      <c r="H185" s="213" t="s">
        <v>23</v>
      </c>
      <c r="I185" s="213" t="s">
        <v>158</v>
      </c>
      <c r="L185" s="208">
        <v>348</v>
      </c>
    </row>
    <row r="186" spans="1:12" ht="15.75">
      <c r="A186" s="212">
        <v>388</v>
      </c>
      <c r="B186" s="213" t="s">
        <v>181</v>
      </c>
      <c r="C186" s="218">
        <v>0</v>
      </c>
      <c r="D186" s="218">
        <v>912570</v>
      </c>
      <c r="E186" s="215">
        <f t="shared" si="2"/>
        <v>-912570</v>
      </c>
      <c r="F186" s="213" t="s">
        <v>222</v>
      </c>
      <c r="G186" s="213" t="s">
        <v>106</v>
      </c>
      <c r="H186" s="213" t="s">
        <v>13</v>
      </c>
      <c r="I186" s="213" t="s">
        <v>107</v>
      </c>
      <c r="L186" s="208">
        <v>353</v>
      </c>
    </row>
    <row r="187" spans="1:12" ht="15.75">
      <c r="A187" s="212">
        <v>391</v>
      </c>
      <c r="B187" s="208" t="s">
        <v>852</v>
      </c>
      <c r="C187" s="218">
        <v>6000</v>
      </c>
      <c r="D187" s="218">
        <v>0</v>
      </c>
      <c r="E187" s="216">
        <f t="shared" si="2"/>
        <v>6000</v>
      </c>
      <c r="F187" s="213" t="s">
        <v>815</v>
      </c>
      <c r="G187" s="213"/>
      <c r="H187" s="213"/>
      <c r="I187" s="213"/>
      <c r="L187" s="208">
        <v>354</v>
      </c>
    </row>
    <row r="188" spans="1:12" ht="15.75">
      <c r="A188" s="212">
        <v>394</v>
      </c>
      <c r="B188" s="213" t="s">
        <v>182</v>
      </c>
      <c r="C188" s="218">
        <v>50000</v>
      </c>
      <c r="D188" s="218">
        <v>0</v>
      </c>
      <c r="E188" s="215">
        <f t="shared" si="2"/>
        <v>50000</v>
      </c>
      <c r="F188" s="213" t="s">
        <v>222</v>
      </c>
      <c r="G188" s="213" t="s">
        <v>12</v>
      </c>
      <c r="H188" s="213" t="s">
        <v>13</v>
      </c>
      <c r="I188" s="213" t="s">
        <v>14</v>
      </c>
      <c r="L188" s="208">
        <v>355</v>
      </c>
    </row>
    <row r="189" spans="1:12" ht="15.75">
      <c r="A189" s="212">
        <v>401</v>
      </c>
      <c r="B189" s="213" t="s">
        <v>183</v>
      </c>
      <c r="C189" s="218">
        <v>0</v>
      </c>
      <c r="D189" s="218">
        <v>1820677</v>
      </c>
      <c r="E189" s="215">
        <f t="shared" si="2"/>
        <v>-1820677</v>
      </c>
      <c r="F189" s="213" t="s">
        <v>222</v>
      </c>
      <c r="G189" s="213" t="s">
        <v>62</v>
      </c>
      <c r="H189" s="213" t="s">
        <v>23</v>
      </c>
      <c r="I189" s="213" t="s">
        <v>44</v>
      </c>
      <c r="L189" s="208">
        <v>358</v>
      </c>
    </row>
    <row r="190" spans="1:12" ht="15.75">
      <c r="A190" s="212">
        <v>403</v>
      </c>
      <c r="B190" s="213" t="s">
        <v>184</v>
      </c>
      <c r="C190" s="218">
        <v>0</v>
      </c>
      <c r="D190" s="218">
        <v>616</v>
      </c>
      <c r="E190" s="215">
        <f t="shared" si="2"/>
        <v>-616</v>
      </c>
      <c r="F190" s="213" t="s">
        <v>222</v>
      </c>
      <c r="G190" s="213" t="s">
        <v>62</v>
      </c>
      <c r="H190" s="213" t="s">
        <v>23</v>
      </c>
      <c r="I190" s="213" t="s">
        <v>44</v>
      </c>
      <c r="L190" s="208">
        <v>361</v>
      </c>
    </row>
    <row r="191" spans="1:12" ht="15.75">
      <c r="A191" s="212">
        <v>405</v>
      </c>
      <c r="B191" s="208" t="s">
        <v>853</v>
      </c>
      <c r="C191" s="218">
        <v>540376.4</v>
      </c>
      <c r="D191" s="218">
        <v>0</v>
      </c>
      <c r="E191" s="214">
        <f t="shared" si="2"/>
        <v>540376.4</v>
      </c>
      <c r="F191" s="213" t="s">
        <v>815</v>
      </c>
      <c r="G191" s="213"/>
      <c r="H191" s="213"/>
      <c r="I191" s="213"/>
      <c r="L191" s="208">
        <v>362</v>
      </c>
    </row>
    <row r="192" spans="1:12" ht="15.75">
      <c r="A192" s="212">
        <v>406</v>
      </c>
      <c r="B192" s="213" t="s">
        <v>115</v>
      </c>
      <c r="C192" s="218">
        <v>5502247</v>
      </c>
      <c r="D192" s="218">
        <v>0</v>
      </c>
      <c r="E192" s="214">
        <f t="shared" si="2"/>
        <v>5502247</v>
      </c>
      <c r="F192" s="213" t="s">
        <v>222</v>
      </c>
      <c r="G192" s="213" t="s">
        <v>29</v>
      </c>
      <c r="H192" s="213" t="s">
        <v>23</v>
      </c>
      <c r="I192" s="213" t="s">
        <v>158</v>
      </c>
      <c r="L192" s="208">
        <v>363</v>
      </c>
    </row>
    <row r="193" spans="1:12" ht="15.75">
      <c r="A193" s="212">
        <v>409</v>
      </c>
      <c r="B193" s="213" t="s">
        <v>185</v>
      </c>
      <c r="C193" s="218">
        <v>0</v>
      </c>
      <c r="D193" s="218">
        <v>4073</v>
      </c>
      <c r="E193" s="215">
        <f t="shared" si="2"/>
        <v>-4073</v>
      </c>
      <c r="F193" s="213" t="s">
        <v>222</v>
      </c>
      <c r="G193" s="213" t="s">
        <v>62</v>
      </c>
      <c r="H193" s="213" t="s">
        <v>23</v>
      </c>
      <c r="I193" s="213" t="s">
        <v>44</v>
      </c>
      <c r="L193" s="208">
        <v>365</v>
      </c>
    </row>
    <row r="194" spans="1:14" ht="15.75">
      <c r="A194" s="212">
        <v>410</v>
      </c>
      <c r="B194" s="213" t="s">
        <v>186</v>
      </c>
      <c r="C194" s="218">
        <v>6169214</v>
      </c>
      <c r="D194" s="218">
        <v>0</v>
      </c>
      <c r="E194" s="215">
        <f t="shared" si="2"/>
        <v>6169214</v>
      </c>
      <c r="F194" s="213" t="s">
        <v>222</v>
      </c>
      <c r="G194" s="213" t="s">
        <v>32</v>
      </c>
      <c r="H194" s="213" t="s">
        <v>13</v>
      </c>
      <c r="I194" s="213" t="s">
        <v>33</v>
      </c>
      <c r="L194" s="208">
        <v>374</v>
      </c>
      <c r="M194" s="211">
        <f>+L194-A182</f>
        <v>-1</v>
      </c>
      <c r="N194" s="203" t="s">
        <v>831</v>
      </c>
    </row>
    <row r="195" spans="1:12" ht="15.75">
      <c r="A195" s="212">
        <v>412</v>
      </c>
      <c r="B195" s="213" t="s">
        <v>187</v>
      </c>
      <c r="C195" s="218">
        <v>0</v>
      </c>
      <c r="D195" s="218">
        <v>24402190</v>
      </c>
      <c r="E195" s="215">
        <f t="shared" si="2"/>
        <v>-24402190</v>
      </c>
      <c r="F195" s="213" t="s">
        <v>222</v>
      </c>
      <c r="G195" s="213" t="s">
        <v>106</v>
      </c>
      <c r="H195" s="213" t="s">
        <v>13</v>
      </c>
      <c r="I195" s="213" t="s">
        <v>107</v>
      </c>
      <c r="L195" s="208">
        <v>375</v>
      </c>
    </row>
    <row r="196" spans="1:12" ht="15.75">
      <c r="A196" s="212">
        <v>413</v>
      </c>
      <c r="B196" s="213" t="s">
        <v>188</v>
      </c>
      <c r="C196" s="218">
        <v>0</v>
      </c>
      <c r="D196" s="218">
        <v>15571</v>
      </c>
      <c r="E196" s="215">
        <f t="shared" si="2"/>
        <v>-15571</v>
      </c>
      <c r="F196" s="213" t="s">
        <v>222</v>
      </c>
      <c r="G196" s="213" t="s">
        <v>62</v>
      </c>
      <c r="H196" s="213" t="s">
        <v>23</v>
      </c>
      <c r="I196" s="213" t="s">
        <v>44</v>
      </c>
      <c r="L196" s="208">
        <v>377</v>
      </c>
    </row>
    <row r="197" spans="1:12" ht="15.75">
      <c r="A197" s="212">
        <v>416</v>
      </c>
      <c r="B197" s="213" t="s">
        <v>189</v>
      </c>
      <c r="C197" s="218">
        <v>467390</v>
      </c>
      <c r="D197" s="218">
        <v>0</v>
      </c>
      <c r="E197" s="215">
        <f t="shared" si="2"/>
        <v>467390</v>
      </c>
      <c r="F197" s="213" t="s">
        <v>222</v>
      </c>
      <c r="G197" s="213" t="s">
        <v>22</v>
      </c>
      <c r="H197" s="213" t="s">
        <v>23</v>
      </c>
      <c r="I197" s="213" t="s">
        <v>52</v>
      </c>
      <c r="L197" s="208">
        <v>380</v>
      </c>
    </row>
    <row r="198" spans="1:12" ht="15.75">
      <c r="A198" s="212">
        <v>417</v>
      </c>
      <c r="B198" s="208" t="s">
        <v>854</v>
      </c>
      <c r="C198" s="218">
        <v>19050</v>
      </c>
      <c r="D198" s="218">
        <v>0</v>
      </c>
      <c r="E198" s="216">
        <f t="shared" si="2"/>
        <v>19050</v>
      </c>
      <c r="F198" s="213" t="s">
        <v>815</v>
      </c>
      <c r="G198" s="213"/>
      <c r="H198" s="213"/>
      <c r="I198" s="213"/>
      <c r="L198" s="208">
        <v>381</v>
      </c>
    </row>
    <row r="199" spans="1:12" ht="15.75">
      <c r="A199" s="212">
        <v>418</v>
      </c>
      <c r="B199" s="213" t="s">
        <v>190</v>
      </c>
      <c r="C199" s="218">
        <v>0</v>
      </c>
      <c r="D199" s="218">
        <v>2816</v>
      </c>
      <c r="E199" s="215">
        <f t="shared" si="2"/>
        <v>-2816</v>
      </c>
      <c r="F199" s="213" t="s">
        <v>222</v>
      </c>
      <c r="G199" s="213" t="s">
        <v>22</v>
      </c>
      <c r="H199" s="213" t="s">
        <v>23</v>
      </c>
      <c r="I199" s="213" t="s">
        <v>44</v>
      </c>
      <c r="L199" s="208">
        <v>388</v>
      </c>
    </row>
    <row r="200" spans="1:12" ht="15.75">
      <c r="A200" s="212">
        <v>422</v>
      </c>
      <c r="B200" s="213" t="s">
        <v>191</v>
      </c>
      <c r="C200" s="218">
        <v>0</v>
      </c>
      <c r="D200" s="218">
        <v>11000</v>
      </c>
      <c r="E200" s="215">
        <f t="shared" si="2"/>
        <v>-11000</v>
      </c>
      <c r="F200" s="213" t="s">
        <v>222</v>
      </c>
      <c r="G200" s="213" t="s">
        <v>62</v>
      </c>
      <c r="H200" s="213" t="s">
        <v>23</v>
      </c>
      <c r="I200" s="213" t="s">
        <v>44</v>
      </c>
      <c r="L200" s="208">
        <v>391</v>
      </c>
    </row>
    <row r="201" spans="1:14" ht="15.75">
      <c r="A201" s="212">
        <v>424</v>
      </c>
      <c r="B201" s="213" t="s">
        <v>192</v>
      </c>
      <c r="C201" s="218">
        <v>0</v>
      </c>
      <c r="D201" s="218">
        <v>4880</v>
      </c>
      <c r="E201" s="215">
        <f t="shared" si="2"/>
        <v>-4880</v>
      </c>
      <c r="F201" s="213" t="s">
        <v>222</v>
      </c>
      <c r="G201" s="213" t="s">
        <v>62</v>
      </c>
      <c r="H201" s="213" t="s">
        <v>23</v>
      </c>
      <c r="I201" s="213" t="s">
        <v>44</v>
      </c>
      <c r="L201" s="208">
        <v>393</v>
      </c>
      <c r="M201" s="211">
        <f>+L201-A188</f>
        <v>-1</v>
      </c>
      <c r="N201" s="203" t="s">
        <v>831</v>
      </c>
    </row>
    <row r="202" spans="1:12" ht="15.75">
      <c r="A202" s="212">
        <v>428</v>
      </c>
      <c r="B202" s="213" t="s">
        <v>193</v>
      </c>
      <c r="C202" s="218">
        <v>0</v>
      </c>
      <c r="D202" s="218">
        <v>2284</v>
      </c>
      <c r="E202" s="215">
        <f t="shared" si="2"/>
        <v>-2284</v>
      </c>
      <c r="F202" s="213" t="s">
        <v>222</v>
      </c>
      <c r="G202" s="213" t="s">
        <v>62</v>
      </c>
      <c r="H202" s="213" t="s">
        <v>23</v>
      </c>
      <c r="I202" s="213" t="s">
        <v>44</v>
      </c>
      <c r="L202" s="208">
        <v>394</v>
      </c>
    </row>
    <row r="203" spans="1:12" ht="15.75">
      <c r="A203" s="212">
        <v>429</v>
      </c>
      <c r="B203" s="213" t="s">
        <v>194</v>
      </c>
      <c r="C203" s="218">
        <v>0</v>
      </c>
      <c r="D203" s="218">
        <v>1697901</v>
      </c>
      <c r="E203" s="215">
        <f t="shared" si="2"/>
        <v>-1697901</v>
      </c>
      <c r="F203" s="213" t="s">
        <v>222</v>
      </c>
      <c r="G203" s="213" t="s">
        <v>62</v>
      </c>
      <c r="H203" s="213" t="s">
        <v>23</v>
      </c>
      <c r="I203" s="213" t="s">
        <v>44</v>
      </c>
      <c r="L203" s="208">
        <v>401</v>
      </c>
    </row>
    <row r="204" spans="1:12" ht="15.75">
      <c r="A204" s="212">
        <v>431</v>
      </c>
      <c r="B204" s="213" t="s">
        <v>195</v>
      </c>
      <c r="C204" s="218">
        <v>0</v>
      </c>
      <c r="D204" s="218">
        <v>574490</v>
      </c>
      <c r="E204" s="215">
        <f t="shared" si="2"/>
        <v>-574490</v>
      </c>
      <c r="F204" s="213" t="s">
        <v>222</v>
      </c>
      <c r="G204" s="213" t="s">
        <v>62</v>
      </c>
      <c r="H204" s="213" t="s">
        <v>23</v>
      </c>
      <c r="I204" s="213" t="s">
        <v>44</v>
      </c>
      <c r="L204" s="208">
        <v>403</v>
      </c>
    </row>
    <row r="205" spans="1:12" ht="15.75">
      <c r="A205" s="212">
        <v>436</v>
      </c>
      <c r="B205" s="213" t="s">
        <v>196</v>
      </c>
      <c r="C205" s="218">
        <v>6776</v>
      </c>
      <c r="D205" s="218">
        <v>0</v>
      </c>
      <c r="E205" s="214">
        <f t="shared" si="2"/>
        <v>6776</v>
      </c>
      <c r="F205" s="213" t="s">
        <v>222</v>
      </c>
      <c r="G205" s="213" t="s">
        <v>29</v>
      </c>
      <c r="H205" s="213" t="s">
        <v>23</v>
      </c>
      <c r="I205" s="213" t="s">
        <v>30</v>
      </c>
      <c r="L205" s="208">
        <v>405</v>
      </c>
    </row>
    <row r="206" spans="1:12" ht="15.75">
      <c r="A206" s="212">
        <v>438</v>
      </c>
      <c r="B206" s="213" t="s">
        <v>197</v>
      </c>
      <c r="C206" s="218">
        <v>0</v>
      </c>
      <c r="D206" s="218">
        <v>36001383</v>
      </c>
      <c r="E206" s="215">
        <f aca="true" t="shared" si="3" ref="E206:E278">+C206-D206</f>
        <v>-36001383</v>
      </c>
      <c r="F206" s="213" t="s">
        <v>222</v>
      </c>
      <c r="G206" s="213" t="s">
        <v>62</v>
      </c>
      <c r="H206" s="213" t="s">
        <v>23</v>
      </c>
      <c r="I206" s="213" t="s">
        <v>82</v>
      </c>
      <c r="L206" s="208">
        <v>406</v>
      </c>
    </row>
    <row r="207" spans="1:12" ht="15.75">
      <c r="A207" s="212">
        <v>439</v>
      </c>
      <c r="B207" s="213" t="s">
        <v>198</v>
      </c>
      <c r="C207" s="218">
        <v>0</v>
      </c>
      <c r="D207" s="218">
        <v>5621139</v>
      </c>
      <c r="E207" s="215">
        <f t="shared" si="3"/>
        <v>-5621139</v>
      </c>
      <c r="F207" s="213" t="s">
        <v>222</v>
      </c>
      <c r="G207" s="213" t="s">
        <v>62</v>
      </c>
      <c r="H207" s="213" t="s">
        <v>23</v>
      </c>
      <c r="I207" s="213" t="s">
        <v>82</v>
      </c>
      <c r="L207" s="208">
        <v>409</v>
      </c>
    </row>
    <row r="208" spans="1:12" ht="15.75">
      <c r="A208" s="212">
        <v>440</v>
      </c>
      <c r="B208" s="213" t="s">
        <v>199</v>
      </c>
      <c r="C208" s="218">
        <v>0</v>
      </c>
      <c r="D208" s="218">
        <v>4941197</v>
      </c>
      <c r="E208" s="215">
        <f t="shared" si="3"/>
        <v>-4941197</v>
      </c>
      <c r="F208" s="213" t="s">
        <v>222</v>
      </c>
      <c r="G208" s="213" t="s">
        <v>62</v>
      </c>
      <c r="H208" s="213" t="s">
        <v>23</v>
      </c>
      <c r="I208" s="213" t="s">
        <v>82</v>
      </c>
      <c r="L208" s="208">
        <v>410</v>
      </c>
    </row>
    <row r="209" spans="1:12" ht="15.75">
      <c r="A209" s="212">
        <v>442</v>
      </c>
      <c r="B209" s="213" t="s">
        <v>200</v>
      </c>
      <c r="C209" s="218">
        <v>0</v>
      </c>
      <c r="D209" s="218">
        <v>946353</v>
      </c>
      <c r="E209" s="215">
        <f t="shared" si="3"/>
        <v>-946353</v>
      </c>
      <c r="F209" s="213" t="s">
        <v>222</v>
      </c>
      <c r="G209" s="213" t="s">
        <v>62</v>
      </c>
      <c r="H209" s="213" t="s">
        <v>23</v>
      </c>
      <c r="I209" s="213" t="s">
        <v>82</v>
      </c>
      <c r="L209" s="208">
        <v>412</v>
      </c>
    </row>
    <row r="210" spans="1:12" ht="15.75">
      <c r="A210" s="212">
        <v>443</v>
      </c>
      <c r="B210" s="213" t="s">
        <v>201</v>
      </c>
      <c r="C210" s="218">
        <v>0</v>
      </c>
      <c r="D210" s="218">
        <v>510551</v>
      </c>
      <c r="E210" s="215">
        <f t="shared" si="3"/>
        <v>-510551</v>
      </c>
      <c r="F210" s="213" t="s">
        <v>222</v>
      </c>
      <c r="G210" s="213" t="s">
        <v>62</v>
      </c>
      <c r="H210" s="213" t="s">
        <v>23</v>
      </c>
      <c r="I210" s="213" t="s">
        <v>82</v>
      </c>
      <c r="L210" s="208">
        <v>413</v>
      </c>
    </row>
    <row r="211" spans="1:12" ht="15.75">
      <c r="A211" s="212">
        <v>444</v>
      </c>
      <c r="B211" s="213" t="s">
        <v>202</v>
      </c>
      <c r="C211" s="218">
        <v>49198838.72</v>
      </c>
      <c r="D211" s="218">
        <v>0</v>
      </c>
      <c r="E211" s="214">
        <f t="shared" si="3"/>
        <v>49198838.72</v>
      </c>
      <c r="F211" s="213" t="s">
        <v>222</v>
      </c>
      <c r="G211" s="213" t="s">
        <v>29</v>
      </c>
      <c r="H211" s="213" t="s">
        <v>23</v>
      </c>
      <c r="I211" s="213" t="s">
        <v>30</v>
      </c>
      <c r="L211" s="208">
        <v>416</v>
      </c>
    </row>
    <row r="212" spans="1:12" ht="15.75">
      <c r="A212" s="212">
        <v>445</v>
      </c>
      <c r="B212" s="213" t="s">
        <v>203</v>
      </c>
      <c r="C212" s="218">
        <v>660003.22</v>
      </c>
      <c r="D212" s="218">
        <v>0</v>
      </c>
      <c r="E212" s="214">
        <f t="shared" si="3"/>
        <v>660003.22</v>
      </c>
      <c r="F212" s="213" t="s">
        <v>222</v>
      </c>
      <c r="G212" s="213" t="s">
        <v>29</v>
      </c>
      <c r="H212" s="213" t="s">
        <v>23</v>
      </c>
      <c r="I212" s="213" t="s">
        <v>30</v>
      </c>
      <c r="L212" s="208">
        <v>417</v>
      </c>
    </row>
    <row r="213" spans="1:12" ht="15.75">
      <c r="A213" s="212">
        <v>446</v>
      </c>
      <c r="B213" s="213" t="s">
        <v>204</v>
      </c>
      <c r="C213" s="218">
        <v>10310779</v>
      </c>
      <c r="D213" s="218">
        <v>0</v>
      </c>
      <c r="E213" s="214">
        <f t="shared" si="3"/>
        <v>10310779</v>
      </c>
      <c r="F213" s="213" t="s">
        <v>222</v>
      </c>
      <c r="G213" s="213" t="s">
        <v>29</v>
      </c>
      <c r="H213" s="213" t="s">
        <v>23</v>
      </c>
      <c r="I213" s="213" t="s">
        <v>30</v>
      </c>
      <c r="L213" s="208">
        <v>418</v>
      </c>
    </row>
    <row r="214" spans="1:14" ht="15.75">
      <c r="A214" s="212">
        <v>447</v>
      </c>
      <c r="B214" s="213" t="s">
        <v>205</v>
      </c>
      <c r="C214" s="218">
        <v>1599291.24</v>
      </c>
      <c r="D214" s="218">
        <v>0</v>
      </c>
      <c r="E214" s="214">
        <f t="shared" si="3"/>
        <v>1599291.24</v>
      </c>
      <c r="F214" s="213" t="s">
        <v>222</v>
      </c>
      <c r="G214" s="213" t="s">
        <v>29</v>
      </c>
      <c r="H214" s="213" t="s">
        <v>23</v>
      </c>
      <c r="I214" s="213" t="s">
        <v>30</v>
      </c>
      <c r="L214" s="208">
        <v>419</v>
      </c>
      <c r="M214" s="211">
        <f>+L214-A200</f>
        <v>-3</v>
      </c>
      <c r="N214" s="203" t="s">
        <v>831</v>
      </c>
    </row>
    <row r="215" spans="1:14" ht="15.75">
      <c r="A215" s="212">
        <v>448</v>
      </c>
      <c r="B215" s="213" t="s">
        <v>206</v>
      </c>
      <c r="C215" s="218">
        <v>802075</v>
      </c>
      <c r="D215" s="218">
        <v>0</v>
      </c>
      <c r="E215" s="214">
        <f t="shared" si="3"/>
        <v>802075</v>
      </c>
      <c r="F215" s="213" t="s">
        <v>222</v>
      </c>
      <c r="G215" s="213" t="s">
        <v>29</v>
      </c>
      <c r="H215" s="213" t="s">
        <v>23</v>
      </c>
      <c r="I215" s="213" t="s">
        <v>30</v>
      </c>
      <c r="L215" s="208">
        <v>420</v>
      </c>
      <c r="M215" s="211">
        <f>+L215-A201</f>
        <v>-4</v>
      </c>
      <c r="N215" s="203" t="s">
        <v>831</v>
      </c>
    </row>
    <row r="216" spans="1:14" ht="15.75">
      <c r="A216" s="212">
        <v>449</v>
      </c>
      <c r="B216" s="213" t="s">
        <v>207</v>
      </c>
      <c r="C216" s="218">
        <v>23451382</v>
      </c>
      <c r="D216" s="218">
        <v>0</v>
      </c>
      <c r="E216" s="214">
        <f t="shared" si="3"/>
        <v>23451382</v>
      </c>
      <c r="F216" s="213" t="s">
        <v>222</v>
      </c>
      <c r="G216" s="213" t="s">
        <v>29</v>
      </c>
      <c r="H216" s="213" t="s">
        <v>23</v>
      </c>
      <c r="I216" s="213" t="s">
        <v>30</v>
      </c>
      <c r="L216" s="208">
        <v>421</v>
      </c>
      <c r="M216" s="211">
        <f>+L216-A202</f>
        <v>-7</v>
      </c>
      <c r="N216" s="203" t="s">
        <v>832</v>
      </c>
    </row>
    <row r="217" spans="1:12" ht="15.75">
      <c r="A217" s="212">
        <v>450</v>
      </c>
      <c r="B217" s="213" t="s">
        <v>208</v>
      </c>
      <c r="C217" s="218">
        <v>36378172.81</v>
      </c>
      <c r="D217" s="218">
        <v>0</v>
      </c>
      <c r="E217" s="214">
        <f t="shared" si="3"/>
        <v>36378172.81</v>
      </c>
      <c r="F217" s="213" t="s">
        <v>222</v>
      </c>
      <c r="G217" s="213" t="s">
        <v>29</v>
      </c>
      <c r="H217" s="213" t="s">
        <v>23</v>
      </c>
      <c r="I217" s="213" t="s">
        <v>30</v>
      </c>
      <c r="L217" s="208">
        <v>422</v>
      </c>
    </row>
    <row r="218" spans="1:12" ht="15.75">
      <c r="A218" s="212">
        <v>452</v>
      </c>
      <c r="B218" s="213" t="s">
        <v>209</v>
      </c>
      <c r="C218" s="218">
        <v>2942173</v>
      </c>
      <c r="D218" s="218">
        <v>0</v>
      </c>
      <c r="E218" s="214">
        <f t="shared" si="3"/>
        <v>2942173</v>
      </c>
      <c r="F218" s="213" t="s">
        <v>222</v>
      </c>
      <c r="G218" s="213" t="s">
        <v>29</v>
      </c>
      <c r="H218" s="213" t="s">
        <v>23</v>
      </c>
      <c r="I218" s="213" t="s">
        <v>30</v>
      </c>
      <c r="L218" s="208">
        <v>424</v>
      </c>
    </row>
    <row r="219" spans="1:12" ht="15.75">
      <c r="A219" s="212">
        <v>453</v>
      </c>
      <c r="B219" s="213" t="s">
        <v>210</v>
      </c>
      <c r="C219" s="218">
        <v>263533972.8</v>
      </c>
      <c r="D219" s="218">
        <v>0</v>
      </c>
      <c r="E219" s="214">
        <f t="shared" si="3"/>
        <v>263533972.8</v>
      </c>
      <c r="F219" s="213" t="s">
        <v>222</v>
      </c>
      <c r="G219" s="213" t="s">
        <v>29</v>
      </c>
      <c r="H219" s="213" t="s">
        <v>23</v>
      </c>
      <c r="I219" s="213" t="s">
        <v>30</v>
      </c>
      <c r="L219" s="208">
        <v>428</v>
      </c>
    </row>
    <row r="220" spans="1:12" ht="15.75">
      <c r="A220" s="212">
        <v>454</v>
      </c>
      <c r="B220" s="213" t="s">
        <v>211</v>
      </c>
      <c r="C220" s="218">
        <v>92059155</v>
      </c>
      <c r="D220" s="218">
        <v>0</v>
      </c>
      <c r="E220" s="214">
        <f t="shared" si="3"/>
        <v>92059155</v>
      </c>
      <c r="F220" s="213" t="s">
        <v>222</v>
      </c>
      <c r="G220" s="213" t="s">
        <v>29</v>
      </c>
      <c r="H220" s="213" t="s">
        <v>23</v>
      </c>
      <c r="I220" s="213" t="s">
        <v>30</v>
      </c>
      <c r="L220" s="208">
        <v>429</v>
      </c>
    </row>
    <row r="221" spans="1:12" ht="15.75">
      <c r="A221" s="212">
        <v>455</v>
      </c>
      <c r="B221" s="213" t="s">
        <v>212</v>
      </c>
      <c r="C221" s="218">
        <v>53337682.88</v>
      </c>
      <c r="D221" s="218">
        <v>0</v>
      </c>
      <c r="E221" s="214">
        <f t="shared" si="3"/>
        <v>53337682.88</v>
      </c>
      <c r="F221" s="213" t="s">
        <v>222</v>
      </c>
      <c r="G221" s="213" t="s">
        <v>29</v>
      </c>
      <c r="H221" s="213" t="s">
        <v>23</v>
      </c>
      <c r="I221" s="213" t="s">
        <v>30</v>
      </c>
      <c r="L221" s="208">
        <v>431</v>
      </c>
    </row>
    <row r="222" spans="1:12" ht="15.75">
      <c r="A222" s="212">
        <v>456</v>
      </c>
      <c r="B222" s="213" t="s">
        <v>213</v>
      </c>
      <c r="C222" s="218">
        <v>278666008</v>
      </c>
      <c r="D222" s="218">
        <v>0</v>
      </c>
      <c r="E222" s="214">
        <f t="shared" si="3"/>
        <v>278666008</v>
      </c>
      <c r="F222" s="213" t="s">
        <v>222</v>
      </c>
      <c r="G222" s="213" t="s">
        <v>29</v>
      </c>
      <c r="H222" s="213" t="s">
        <v>23</v>
      </c>
      <c r="I222" s="213" t="s">
        <v>30</v>
      </c>
      <c r="L222" s="208">
        <v>436</v>
      </c>
    </row>
    <row r="223" spans="1:12" ht="15.75">
      <c r="A223" s="212">
        <v>457</v>
      </c>
      <c r="B223" s="213" t="s">
        <v>214</v>
      </c>
      <c r="C223" s="218">
        <v>59692</v>
      </c>
      <c r="D223" s="218">
        <v>0</v>
      </c>
      <c r="E223" s="214">
        <f t="shared" si="3"/>
        <v>59692</v>
      </c>
      <c r="F223" s="213" t="s">
        <v>222</v>
      </c>
      <c r="G223" s="213" t="s">
        <v>29</v>
      </c>
      <c r="H223" s="213" t="s">
        <v>23</v>
      </c>
      <c r="I223" s="213" t="s">
        <v>30</v>
      </c>
      <c r="L223" s="208">
        <v>438</v>
      </c>
    </row>
    <row r="224" spans="1:12" ht="15.75">
      <c r="A224" s="212">
        <v>458</v>
      </c>
      <c r="B224" s="213" t="s">
        <v>215</v>
      </c>
      <c r="C224" s="218">
        <v>183899538</v>
      </c>
      <c r="D224" s="218">
        <v>0</v>
      </c>
      <c r="E224" s="214">
        <f t="shared" si="3"/>
        <v>183899538</v>
      </c>
      <c r="F224" s="213" t="s">
        <v>222</v>
      </c>
      <c r="G224" s="213" t="s">
        <v>29</v>
      </c>
      <c r="H224" s="213" t="s">
        <v>23</v>
      </c>
      <c r="I224" s="213" t="s">
        <v>30</v>
      </c>
      <c r="L224" s="208">
        <v>439</v>
      </c>
    </row>
    <row r="225" spans="1:12" ht="15.75">
      <c r="A225" s="212">
        <v>461</v>
      </c>
      <c r="B225" s="213" t="s">
        <v>216</v>
      </c>
      <c r="C225" s="218">
        <v>8506219.85</v>
      </c>
      <c r="D225" s="218">
        <v>0</v>
      </c>
      <c r="E225" s="214">
        <f t="shared" si="3"/>
        <v>8506219.85</v>
      </c>
      <c r="F225" s="213" t="s">
        <v>222</v>
      </c>
      <c r="G225" s="213" t="s">
        <v>29</v>
      </c>
      <c r="H225" s="213" t="s">
        <v>23</v>
      </c>
      <c r="I225" s="213" t="s">
        <v>30</v>
      </c>
      <c r="L225" s="208">
        <v>440</v>
      </c>
    </row>
    <row r="226" spans="1:12" ht="15.75">
      <c r="A226" s="212">
        <v>465</v>
      </c>
      <c r="B226" s="213" t="s">
        <v>217</v>
      </c>
      <c r="C226" s="218">
        <v>781006.96</v>
      </c>
      <c r="D226" s="218">
        <v>0</v>
      </c>
      <c r="E226" s="214">
        <f t="shared" si="3"/>
        <v>781006.96</v>
      </c>
      <c r="F226" s="213" t="s">
        <v>222</v>
      </c>
      <c r="G226" s="213" t="s">
        <v>29</v>
      </c>
      <c r="H226" s="213" t="s">
        <v>23</v>
      </c>
      <c r="I226" s="213" t="s">
        <v>30</v>
      </c>
      <c r="L226" s="208">
        <v>442</v>
      </c>
    </row>
    <row r="227" spans="1:12" ht="15.75">
      <c r="A227" s="212">
        <v>472</v>
      </c>
      <c r="B227" s="213" t="s">
        <v>218</v>
      </c>
      <c r="C227" s="218">
        <v>11817019</v>
      </c>
      <c r="D227" s="218">
        <v>0</v>
      </c>
      <c r="E227" s="214">
        <f t="shared" si="3"/>
        <v>11817019</v>
      </c>
      <c r="F227" s="213" t="s">
        <v>222</v>
      </c>
      <c r="G227" s="213" t="s">
        <v>29</v>
      </c>
      <c r="H227" s="213" t="s">
        <v>23</v>
      </c>
      <c r="I227" s="213" t="s">
        <v>30</v>
      </c>
      <c r="L227" s="208">
        <v>443</v>
      </c>
    </row>
    <row r="228" spans="1:12" ht="15.75">
      <c r="A228" s="212">
        <v>474</v>
      </c>
      <c r="B228" s="213" t="s">
        <v>219</v>
      </c>
      <c r="C228" s="218">
        <v>641369.65</v>
      </c>
      <c r="D228" s="218">
        <v>0</v>
      </c>
      <c r="E228" s="214">
        <f t="shared" si="3"/>
        <v>641369.65</v>
      </c>
      <c r="F228" s="213" t="s">
        <v>222</v>
      </c>
      <c r="G228" s="213" t="s">
        <v>29</v>
      </c>
      <c r="H228" s="213" t="s">
        <v>23</v>
      </c>
      <c r="I228" s="213" t="s">
        <v>30</v>
      </c>
      <c r="L228" s="208">
        <v>444</v>
      </c>
    </row>
    <row r="229" spans="1:12" ht="15.75">
      <c r="A229" s="212">
        <v>475</v>
      </c>
      <c r="B229" s="208" t="s">
        <v>855</v>
      </c>
      <c r="C229" s="218">
        <v>161000</v>
      </c>
      <c r="D229" s="218">
        <v>0</v>
      </c>
      <c r="E229" s="214">
        <f t="shared" si="3"/>
        <v>161000</v>
      </c>
      <c r="F229" s="213" t="s">
        <v>815</v>
      </c>
      <c r="G229" s="213"/>
      <c r="H229" s="213"/>
      <c r="I229" s="213"/>
      <c r="L229" s="208">
        <v>445</v>
      </c>
    </row>
    <row r="230" spans="1:12" ht="15.75">
      <c r="A230" s="212">
        <v>486</v>
      </c>
      <c r="B230" s="208" t="s">
        <v>858</v>
      </c>
      <c r="C230" s="218">
        <v>6964022</v>
      </c>
      <c r="D230" s="218">
        <v>0</v>
      </c>
      <c r="E230" s="214">
        <f t="shared" si="3"/>
        <v>6964022</v>
      </c>
      <c r="F230" s="213" t="s">
        <v>815</v>
      </c>
      <c r="G230" s="213"/>
      <c r="H230" s="213"/>
      <c r="I230" s="213"/>
      <c r="L230" s="208">
        <v>446</v>
      </c>
    </row>
    <row r="231" spans="1:12" ht="15.75">
      <c r="A231" s="212">
        <v>487</v>
      </c>
      <c r="B231" s="213" t="s">
        <v>220</v>
      </c>
      <c r="C231" s="218">
        <v>0</v>
      </c>
      <c r="D231" s="218"/>
      <c r="E231" s="214">
        <f t="shared" si="3"/>
        <v>0</v>
      </c>
      <c r="F231" s="213" t="s">
        <v>222</v>
      </c>
      <c r="G231" s="213" t="s">
        <v>29</v>
      </c>
      <c r="H231" s="213" t="s">
        <v>23</v>
      </c>
      <c r="I231" s="213" t="s">
        <v>30</v>
      </c>
      <c r="L231" s="208">
        <v>447</v>
      </c>
    </row>
    <row r="232" spans="1:12" ht="15.75">
      <c r="A232" s="212">
        <v>488</v>
      </c>
      <c r="B232" s="208" t="s">
        <v>859</v>
      </c>
      <c r="C232" s="218">
        <v>38516959.66</v>
      </c>
      <c r="D232" s="218">
        <v>0</v>
      </c>
      <c r="E232" s="214">
        <f t="shared" si="3"/>
        <v>38516959.66</v>
      </c>
      <c r="F232" s="213" t="s">
        <v>815</v>
      </c>
      <c r="G232" s="213"/>
      <c r="H232" s="213"/>
      <c r="I232" s="213"/>
      <c r="L232" s="208">
        <v>448</v>
      </c>
    </row>
    <row r="233" spans="1:12" ht="15.75">
      <c r="A233" s="212">
        <v>494</v>
      </c>
      <c r="B233" s="208" t="s">
        <v>860</v>
      </c>
      <c r="C233" s="218">
        <v>3795494</v>
      </c>
      <c r="D233" s="218">
        <v>0</v>
      </c>
      <c r="E233" s="214">
        <f t="shared" si="3"/>
        <v>3795494</v>
      </c>
      <c r="F233" s="213" t="s">
        <v>815</v>
      </c>
      <c r="G233" s="213"/>
      <c r="H233" s="213"/>
      <c r="I233" s="213"/>
      <c r="L233" s="208">
        <v>449</v>
      </c>
    </row>
    <row r="234" spans="1:12" ht="15.75">
      <c r="A234" s="212">
        <v>497</v>
      </c>
      <c r="B234" s="213" t="s">
        <v>223</v>
      </c>
      <c r="C234" s="218">
        <v>8273254</v>
      </c>
      <c r="D234" s="218">
        <v>0</v>
      </c>
      <c r="E234" s="214">
        <f t="shared" si="3"/>
        <v>8273254</v>
      </c>
      <c r="F234" s="213" t="s">
        <v>222</v>
      </c>
      <c r="G234" s="213" t="s">
        <v>29</v>
      </c>
      <c r="H234" s="213" t="s">
        <v>23</v>
      </c>
      <c r="I234" s="213" t="s">
        <v>30</v>
      </c>
      <c r="L234" s="208">
        <v>450</v>
      </c>
    </row>
    <row r="235" spans="1:12" ht="15.75">
      <c r="A235" s="212">
        <v>499</v>
      </c>
      <c r="B235" s="213" t="s">
        <v>224</v>
      </c>
      <c r="C235" s="218">
        <v>197608</v>
      </c>
      <c r="D235" s="218">
        <v>0</v>
      </c>
      <c r="E235" s="214">
        <f t="shared" si="3"/>
        <v>197608</v>
      </c>
      <c r="F235" s="213" t="s">
        <v>222</v>
      </c>
      <c r="G235" s="213" t="s">
        <v>29</v>
      </c>
      <c r="H235" s="213" t="s">
        <v>23</v>
      </c>
      <c r="I235" s="213" t="s">
        <v>30</v>
      </c>
      <c r="L235" s="208">
        <v>452</v>
      </c>
    </row>
    <row r="236" spans="1:12" ht="15.75">
      <c r="A236" s="212">
        <v>504</v>
      </c>
      <c r="B236" s="208" t="s">
        <v>861</v>
      </c>
      <c r="C236" s="218">
        <v>20556879</v>
      </c>
      <c r="D236" s="218">
        <v>0</v>
      </c>
      <c r="E236" s="214">
        <f t="shared" si="3"/>
        <v>20556879</v>
      </c>
      <c r="F236" s="213" t="s">
        <v>815</v>
      </c>
      <c r="G236" s="213"/>
      <c r="H236" s="213"/>
      <c r="I236" s="213"/>
      <c r="L236" s="208">
        <v>453</v>
      </c>
    </row>
    <row r="237" spans="1:12" ht="15.75">
      <c r="A237" s="212">
        <v>521</v>
      </c>
      <c r="B237" s="213" t="s">
        <v>225</v>
      </c>
      <c r="C237" s="218"/>
      <c r="D237" s="218">
        <v>0</v>
      </c>
      <c r="E237" s="220">
        <f t="shared" si="3"/>
        <v>0</v>
      </c>
      <c r="F237" s="213" t="s">
        <v>222</v>
      </c>
      <c r="G237" s="213" t="s">
        <v>12</v>
      </c>
      <c r="H237" s="213" t="s">
        <v>13</v>
      </c>
      <c r="I237" s="213" t="s">
        <v>14</v>
      </c>
      <c r="L237" s="208">
        <v>454</v>
      </c>
    </row>
    <row r="238" spans="1:12" ht="15.75">
      <c r="A238" s="212">
        <v>525</v>
      </c>
      <c r="B238" s="213" t="s">
        <v>226</v>
      </c>
      <c r="C238" s="218">
        <v>220400000</v>
      </c>
      <c r="D238" s="218">
        <v>0</v>
      </c>
      <c r="E238" s="215">
        <f t="shared" si="3"/>
        <v>220400000</v>
      </c>
      <c r="F238" s="213" t="s">
        <v>222</v>
      </c>
      <c r="G238" s="213" t="s">
        <v>22</v>
      </c>
      <c r="H238" s="213" t="s">
        <v>23</v>
      </c>
      <c r="I238" s="213" t="s">
        <v>24</v>
      </c>
      <c r="L238" s="208">
        <v>455</v>
      </c>
    </row>
    <row r="239" spans="1:12" ht="15.75">
      <c r="A239" s="212">
        <v>527</v>
      </c>
      <c r="B239" s="213" t="s">
        <v>227</v>
      </c>
      <c r="C239" s="219">
        <v>0</v>
      </c>
      <c r="D239" s="218"/>
      <c r="E239" s="220">
        <f t="shared" si="3"/>
        <v>0</v>
      </c>
      <c r="F239" s="213" t="s">
        <v>222</v>
      </c>
      <c r="G239" s="213" t="s">
        <v>228</v>
      </c>
      <c r="H239" s="213" t="s">
        <v>23</v>
      </c>
      <c r="I239" s="213" t="s">
        <v>42</v>
      </c>
      <c r="L239" s="208">
        <v>456</v>
      </c>
    </row>
    <row r="240" spans="1:12" ht="15.75">
      <c r="A240" s="212">
        <v>528</v>
      </c>
      <c r="B240" s="213" t="s">
        <v>229</v>
      </c>
      <c r="C240" s="218">
        <v>0</v>
      </c>
      <c r="D240" s="218">
        <v>9300000</v>
      </c>
      <c r="E240" s="215">
        <f t="shared" si="3"/>
        <v>-9300000</v>
      </c>
      <c r="F240" s="213" t="s">
        <v>222</v>
      </c>
      <c r="G240" s="213" t="s">
        <v>62</v>
      </c>
      <c r="H240" s="213" t="s">
        <v>23</v>
      </c>
      <c r="I240" s="213" t="s">
        <v>82</v>
      </c>
      <c r="L240" s="208">
        <v>457</v>
      </c>
    </row>
    <row r="241" spans="1:12" ht="15.75">
      <c r="A241" s="212">
        <v>533</v>
      </c>
      <c r="B241" s="213" t="s">
        <v>230</v>
      </c>
      <c r="C241" s="218">
        <v>40077.44</v>
      </c>
      <c r="D241" s="218">
        <v>0</v>
      </c>
      <c r="E241" s="215">
        <f t="shared" si="3"/>
        <v>40077.44</v>
      </c>
      <c r="F241" s="213" t="s">
        <v>222</v>
      </c>
      <c r="G241" s="213" t="s">
        <v>228</v>
      </c>
      <c r="H241" s="213" t="s">
        <v>23</v>
      </c>
      <c r="I241" s="213" t="s">
        <v>24</v>
      </c>
      <c r="L241" s="208">
        <v>458</v>
      </c>
    </row>
    <row r="242" spans="1:12" ht="15.75">
      <c r="A242" s="212">
        <v>535</v>
      </c>
      <c r="B242" s="213" t="s">
        <v>231</v>
      </c>
      <c r="C242" s="218">
        <v>21734.13</v>
      </c>
      <c r="D242" s="218">
        <v>0</v>
      </c>
      <c r="E242" s="215">
        <f t="shared" si="3"/>
        <v>21734.13</v>
      </c>
      <c r="F242" s="213" t="s">
        <v>222</v>
      </c>
      <c r="G242" s="213" t="s">
        <v>228</v>
      </c>
      <c r="H242" s="213" t="s">
        <v>23</v>
      </c>
      <c r="I242" s="213" t="s">
        <v>24</v>
      </c>
      <c r="L242" s="208">
        <v>461</v>
      </c>
    </row>
    <row r="243" spans="1:12" ht="15.75">
      <c r="A243" s="212">
        <v>538</v>
      </c>
      <c r="B243" s="213" t="s">
        <v>232</v>
      </c>
      <c r="C243" s="218">
        <v>0</v>
      </c>
      <c r="D243" s="218">
        <v>10791.64</v>
      </c>
      <c r="E243" s="215">
        <f t="shared" si="3"/>
        <v>-10791.64</v>
      </c>
      <c r="F243" s="213" t="s">
        <v>222</v>
      </c>
      <c r="G243" s="213" t="s">
        <v>233</v>
      </c>
      <c r="H243" s="213" t="s">
        <v>23</v>
      </c>
      <c r="I243" s="213" t="s">
        <v>80</v>
      </c>
      <c r="L243" s="208">
        <v>465</v>
      </c>
    </row>
    <row r="244" spans="1:12" ht="15.75">
      <c r="A244" s="212">
        <v>541</v>
      </c>
      <c r="B244" s="213" t="s">
        <v>234</v>
      </c>
      <c r="C244" s="218">
        <v>17255.95</v>
      </c>
      <c r="D244" s="218">
        <v>0</v>
      </c>
      <c r="E244" s="215">
        <f t="shared" si="3"/>
        <v>17255.95</v>
      </c>
      <c r="F244" s="213" t="s">
        <v>222</v>
      </c>
      <c r="G244" s="213" t="s">
        <v>22</v>
      </c>
      <c r="H244" s="213" t="s">
        <v>23</v>
      </c>
      <c r="I244" s="213" t="s">
        <v>24</v>
      </c>
      <c r="L244" s="208">
        <v>472</v>
      </c>
    </row>
    <row r="245" spans="1:12" ht="15.75">
      <c r="A245" s="212">
        <v>543</v>
      </c>
      <c r="B245" s="213" t="s">
        <v>235</v>
      </c>
      <c r="C245" s="218">
        <v>75</v>
      </c>
      <c r="D245" s="218">
        <v>0</v>
      </c>
      <c r="E245" s="215">
        <f t="shared" si="3"/>
        <v>75</v>
      </c>
      <c r="F245" s="213" t="s">
        <v>222</v>
      </c>
      <c r="G245" s="213" t="s">
        <v>22</v>
      </c>
      <c r="H245" s="213" t="s">
        <v>23</v>
      </c>
      <c r="I245" s="213" t="s">
        <v>24</v>
      </c>
      <c r="L245" s="208">
        <v>474</v>
      </c>
    </row>
    <row r="246" spans="1:12" ht="15.75">
      <c r="A246" s="212">
        <v>546</v>
      </c>
      <c r="B246" s="213" t="s">
        <v>236</v>
      </c>
      <c r="C246" s="218">
        <v>470</v>
      </c>
      <c r="D246" s="218">
        <v>0</v>
      </c>
      <c r="E246" s="215">
        <f t="shared" si="3"/>
        <v>470</v>
      </c>
      <c r="F246" s="213" t="s">
        <v>222</v>
      </c>
      <c r="G246" s="213" t="s">
        <v>22</v>
      </c>
      <c r="H246" s="213" t="s">
        <v>23</v>
      </c>
      <c r="I246" s="213" t="s">
        <v>24</v>
      </c>
      <c r="L246" s="208">
        <v>475</v>
      </c>
    </row>
    <row r="247" spans="1:12" ht="15.75">
      <c r="A247" s="212">
        <v>547</v>
      </c>
      <c r="B247" s="213" t="s">
        <v>237</v>
      </c>
      <c r="C247" s="218">
        <v>136</v>
      </c>
      <c r="D247" s="218">
        <v>0</v>
      </c>
      <c r="E247" s="215">
        <f t="shared" si="3"/>
        <v>136</v>
      </c>
      <c r="F247" s="213" t="s">
        <v>222</v>
      </c>
      <c r="G247" s="213" t="s">
        <v>22</v>
      </c>
      <c r="H247" s="213" t="s">
        <v>23</v>
      </c>
      <c r="I247" s="213" t="s">
        <v>24</v>
      </c>
      <c r="L247" s="208">
        <v>486</v>
      </c>
    </row>
    <row r="248" spans="1:12" ht="15.75">
      <c r="A248" s="212">
        <v>548</v>
      </c>
      <c r="B248" s="213" t="s">
        <v>238</v>
      </c>
      <c r="C248" s="218">
        <v>239</v>
      </c>
      <c r="D248" s="218">
        <v>0</v>
      </c>
      <c r="E248" s="215">
        <f t="shared" si="3"/>
        <v>239</v>
      </c>
      <c r="F248" s="213" t="s">
        <v>222</v>
      </c>
      <c r="G248" s="213" t="s">
        <v>22</v>
      </c>
      <c r="H248" s="213" t="s">
        <v>23</v>
      </c>
      <c r="I248" s="213" t="s">
        <v>24</v>
      </c>
      <c r="L248" s="208">
        <v>487</v>
      </c>
    </row>
    <row r="249" spans="1:12" ht="15.75">
      <c r="A249" s="212">
        <v>550</v>
      </c>
      <c r="B249" s="208" t="s">
        <v>862</v>
      </c>
      <c r="C249" s="218">
        <v>1011</v>
      </c>
      <c r="D249" s="218">
        <v>0</v>
      </c>
      <c r="E249" s="216">
        <f t="shared" si="3"/>
        <v>1011</v>
      </c>
      <c r="F249" s="213" t="s">
        <v>815</v>
      </c>
      <c r="G249" s="213"/>
      <c r="H249" s="213"/>
      <c r="I249" s="213"/>
      <c r="L249" s="208">
        <v>488</v>
      </c>
    </row>
    <row r="250" spans="1:12" ht="15.75">
      <c r="A250" s="212">
        <v>553</v>
      </c>
      <c r="B250" s="213" t="s">
        <v>239</v>
      </c>
      <c r="C250" s="218">
        <v>15955918</v>
      </c>
      <c r="D250" s="218">
        <v>0</v>
      </c>
      <c r="E250" s="215">
        <f t="shared" si="3"/>
        <v>15955918</v>
      </c>
      <c r="F250" s="213" t="s">
        <v>222</v>
      </c>
      <c r="G250" s="213" t="s">
        <v>22</v>
      </c>
      <c r="H250" s="213" t="s">
        <v>23</v>
      </c>
      <c r="I250" s="213" t="s">
        <v>42</v>
      </c>
      <c r="L250" s="208">
        <v>494</v>
      </c>
    </row>
    <row r="251" spans="1:12" ht="15.75">
      <c r="A251" s="212">
        <v>554</v>
      </c>
      <c r="B251" s="213" t="s">
        <v>240</v>
      </c>
      <c r="C251" s="218">
        <v>1804851</v>
      </c>
      <c r="D251" s="218">
        <v>0</v>
      </c>
      <c r="E251" s="215">
        <f t="shared" si="3"/>
        <v>1804851</v>
      </c>
      <c r="F251" s="213" t="s">
        <v>222</v>
      </c>
      <c r="G251" s="213" t="s">
        <v>22</v>
      </c>
      <c r="H251" s="213" t="s">
        <v>23</v>
      </c>
      <c r="I251" s="213" t="s">
        <v>52</v>
      </c>
      <c r="L251" s="208">
        <v>497</v>
      </c>
    </row>
    <row r="252" spans="1:12" ht="15.75">
      <c r="A252" s="212">
        <v>575</v>
      </c>
      <c r="B252" s="213" t="s">
        <v>241</v>
      </c>
      <c r="C252" s="218">
        <v>0</v>
      </c>
      <c r="D252" s="218">
        <v>11803600</v>
      </c>
      <c r="E252" s="215">
        <f t="shared" si="3"/>
        <v>-11803600</v>
      </c>
      <c r="F252" s="213" t="s">
        <v>222</v>
      </c>
      <c r="G252" s="213" t="s">
        <v>106</v>
      </c>
      <c r="H252" s="213" t="s">
        <v>13</v>
      </c>
      <c r="I252" s="213" t="s">
        <v>107</v>
      </c>
      <c r="L252" s="208">
        <v>499</v>
      </c>
    </row>
    <row r="253" spans="1:12" ht="15.75">
      <c r="A253" s="212">
        <v>576</v>
      </c>
      <c r="B253" s="213" t="s">
        <v>242</v>
      </c>
      <c r="C253" s="218">
        <v>0</v>
      </c>
      <c r="D253" s="218">
        <v>16394230</v>
      </c>
      <c r="E253" s="215">
        <f t="shared" si="3"/>
        <v>-16394230</v>
      </c>
      <c r="F253" s="213" t="s">
        <v>222</v>
      </c>
      <c r="G253" s="213" t="s">
        <v>106</v>
      </c>
      <c r="H253" s="213" t="s">
        <v>13</v>
      </c>
      <c r="I253" s="213" t="s">
        <v>107</v>
      </c>
      <c r="L253" s="208">
        <v>504</v>
      </c>
    </row>
    <row r="254" spans="1:14" ht="15.75">
      <c r="A254" s="212">
        <v>577</v>
      </c>
      <c r="B254" s="213" t="s">
        <v>243</v>
      </c>
      <c r="C254" s="218">
        <v>0</v>
      </c>
      <c r="D254" s="218">
        <v>26845135</v>
      </c>
      <c r="E254" s="215">
        <f t="shared" si="3"/>
        <v>-26845135</v>
      </c>
      <c r="F254" s="213" t="s">
        <v>222</v>
      </c>
      <c r="G254" s="213" t="s">
        <v>106</v>
      </c>
      <c r="H254" s="213" t="s">
        <v>13</v>
      </c>
      <c r="I254" s="213" t="s">
        <v>107</v>
      </c>
      <c r="L254" s="208">
        <v>513</v>
      </c>
      <c r="M254" s="211">
        <f>+L254-A237</f>
        <v>-8</v>
      </c>
      <c r="N254" s="203" t="s">
        <v>831</v>
      </c>
    </row>
    <row r="255" spans="1:14" ht="15.75">
      <c r="A255" s="212">
        <v>594</v>
      </c>
      <c r="B255" s="213" t="s">
        <v>244</v>
      </c>
      <c r="C255" s="218">
        <v>8623816</v>
      </c>
      <c r="D255" s="218">
        <v>0</v>
      </c>
      <c r="E255" s="215">
        <f t="shared" si="3"/>
        <v>8623816</v>
      </c>
      <c r="F255" s="213" t="s">
        <v>222</v>
      </c>
      <c r="G255" s="213" t="s">
        <v>12</v>
      </c>
      <c r="H255" s="213" t="s">
        <v>13</v>
      </c>
      <c r="I255" s="213" t="s">
        <v>14</v>
      </c>
      <c r="L255" s="208">
        <v>514</v>
      </c>
      <c r="M255" s="211">
        <f>+L255-A238</f>
        <v>-11</v>
      </c>
      <c r="N255" s="203" t="s">
        <v>831</v>
      </c>
    </row>
    <row r="256" spans="1:12" ht="15.75">
      <c r="A256" s="212">
        <v>609</v>
      </c>
      <c r="B256" s="213" t="s">
        <v>245</v>
      </c>
      <c r="C256" s="218">
        <v>0</v>
      </c>
      <c r="D256" s="218">
        <v>1445695.8</v>
      </c>
      <c r="E256" s="215">
        <f t="shared" si="3"/>
        <v>-1445695.8</v>
      </c>
      <c r="F256" s="213" t="s">
        <v>222</v>
      </c>
      <c r="G256" s="213" t="s">
        <v>79</v>
      </c>
      <c r="H256" s="213" t="s">
        <v>23</v>
      </c>
      <c r="I256" s="213" t="s">
        <v>80</v>
      </c>
      <c r="L256" s="208">
        <v>525</v>
      </c>
    </row>
    <row r="257" spans="1:12" ht="15.75">
      <c r="A257" s="212">
        <v>613</v>
      </c>
      <c r="B257" s="213" t="s">
        <v>246</v>
      </c>
      <c r="C257" s="218">
        <v>0</v>
      </c>
      <c r="D257" s="218">
        <v>1922460.95</v>
      </c>
      <c r="E257" s="215">
        <f t="shared" si="3"/>
        <v>-1922460.95</v>
      </c>
      <c r="F257" s="213" t="s">
        <v>222</v>
      </c>
      <c r="G257" s="213" t="s">
        <v>79</v>
      </c>
      <c r="H257" s="213" t="s">
        <v>23</v>
      </c>
      <c r="I257" s="213" t="s">
        <v>80</v>
      </c>
      <c r="L257" s="208">
        <v>527</v>
      </c>
    </row>
    <row r="258" spans="1:12" ht="15.75">
      <c r="A258" s="212">
        <v>617</v>
      </c>
      <c r="B258" s="213" t="s">
        <v>247</v>
      </c>
      <c r="C258" s="218">
        <v>0</v>
      </c>
      <c r="D258" s="218">
        <v>33392991.22</v>
      </c>
      <c r="E258" s="215">
        <f t="shared" si="3"/>
        <v>-33392991.22</v>
      </c>
      <c r="F258" s="213" t="s">
        <v>222</v>
      </c>
      <c r="G258" s="213" t="s">
        <v>79</v>
      </c>
      <c r="H258" s="213" t="s">
        <v>23</v>
      </c>
      <c r="I258" s="213" t="s">
        <v>80</v>
      </c>
      <c r="L258" s="208">
        <v>528</v>
      </c>
    </row>
    <row r="259" spans="1:12" ht="15.75">
      <c r="A259" s="212">
        <v>623</v>
      </c>
      <c r="B259" s="213" t="s">
        <v>248</v>
      </c>
      <c r="C259" s="218">
        <v>0</v>
      </c>
      <c r="D259" s="218">
        <v>19414461.51</v>
      </c>
      <c r="E259" s="215">
        <f t="shared" si="3"/>
        <v>-19414461.51</v>
      </c>
      <c r="F259" s="213" t="s">
        <v>222</v>
      </c>
      <c r="G259" s="213" t="s">
        <v>79</v>
      </c>
      <c r="H259" s="213" t="s">
        <v>23</v>
      </c>
      <c r="I259" s="213" t="s">
        <v>80</v>
      </c>
      <c r="L259" s="208">
        <v>533</v>
      </c>
    </row>
    <row r="260" spans="1:12" ht="15.75">
      <c r="A260" s="212">
        <v>624</v>
      </c>
      <c r="B260" s="213" t="s">
        <v>249</v>
      </c>
      <c r="C260" s="218">
        <v>0</v>
      </c>
      <c r="D260" s="218">
        <v>329185.06</v>
      </c>
      <c r="E260" s="215">
        <f t="shared" si="3"/>
        <v>-329185.06</v>
      </c>
      <c r="F260" s="213" t="s">
        <v>222</v>
      </c>
      <c r="G260" s="213" t="s">
        <v>79</v>
      </c>
      <c r="H260" s="213" t="s">
        <v>23</v>
      </c>
      <c r="I260" s="213" t="s">
        <v>80</v>
      </c>
      <c r="L260" s="208">
        <v>535</v>
      </c>
    </row>
    <row r="261" spans="1:12" ht="15.75">
      <c r="A261" s="212">
        <v>634</v>
      </c>
      <c r="B261" s="213" t="s">
        <v>250</v>
      </c>
      <c r="C261" s="218">
        <v>0</v>
      </c>
      <c r="D261" s="218">
        <v>453561.83</v>
      </c>
      <c r="E261" s="215">
        <f t="shared" si="3"/>
        <v>-453561.83</v>
      </c>
      <c r="F261" s="213" t="s">
        <v>222</v>
      </c>
      <c r="G261" s="213" t="s">
        <v>79</v>
      </c>
      <c r="H261" s="213" t="s">
        <v>23</v>
      </c>
      <c r="I261" s="213" t="s">
        <v>80</v>
      </c>
      <c r="L261" s="208">
        <v>538</v>
      </c>
    </row>
    <row r="262" spans="1:12" ht="15.75">
      <c r="A262" s="212">
        <v>635</v>
      </c>
      <c r="B262" s="213" t="s">
        <v>251</v>
      </c>
      <c r="C262" s="218">
        <v>0</v>
      </c>
      <c r="D262" s="218">
        <v>18580.31</v>
      </c>
      <c r="E262" s="215">
        <f t="shared" si="3"/>
        <v>-18580.31</v>
      </c>
      <c r="F262" s="213" t="s">
        <v>222</v>
      </c>
      <c r="G262" s="213" t="s">
        <v>79</v>
      </c>
      <c r="H262" s="213" t="s">
        <v>23</v>
      </c>
      <c r="I262" s="213" t="s">
        <v>80</v>
      </c>
      <c r="L262" s="208">
        <v>541</v>
      </c>
    </row>
    <row r="263" spans="1:12" ht="15.75">
      <c r="A263" s="212">
        <v>637</v>
      </c>
      <c r="B263" s="208" t="s">
        <v>863</v>
      </c>
      <c r="C263" s="218">
        <v>0</v>
      </c>
      <c r="D263" s="218">
        <v>3569632.8</v>
      </c>
      <c r="E263" s="216">
        <f t="shared" si="3"/>
        <v>-3569632.8</v>
      </c>
      <c r="F263" s="213" t="s">
        <v>815</v>
      </c>
      <c r="G263" s="213"/>
      <c r="H263" s="213"/>
      <c r="I263" s="213"/>
      <c r="L263" s="208">
        <v>543</v>
      </c>
    </row>
    <row r="264" spans="1:12" ht="15.75">
      <c r="A264" s="212">
        <v>644</v>
      </c>
      <c r="B264" s="213" t="s">
        <v>252</v>
      </c>
      <c r="C264" s="218">
        <v>28669679.26</v>
      </c>
      <c r="D264" s="218">
        <v>0</v>
      </c>
      <c r="E264" s="214">
        <f t="shared" si="3"/>
        <v>28669679.26</v>
      </c>
      <c r="F264" s="213" t="s">
        <v>222</v>
      </c>
      <c r="G264" s="213" t="s">
        <v>29</v>
      </c>
      <c r="H264" s="213" t="s">
        <v>23</v>
      </c>
      <c r="I264" s="213" t="s">
        <v>30</v>
      </c>
      <c r="L264" s="208">
        <v>546</v>
      </c>
    </row>
    <row r="265" spans="1:12" ht="15.75">
      <c r="A265" s="212">
        <v>645</v>
      </c>
      <c r="B265" s="213" t="s">
        <v>253</v>
      </c>
      <c r="C265" s="218">
        <v>31543150.47</v>
      </c>
      <c r="D265" s="218">
        <v>0</v>
      </c>
      <c r="E265" s="214">
        <f t="shared" si="3"/>
        <v>31543150.47</v>
      </c>
      <c r="F265" s="213" t="s">
        <v>222</v>
      </c>
      <c r="G265" s="213" t="s">
        <v>29</v>
      </c>
      <c r="H265" s="213" t="s">
        <v>23</v>
      </c>
      <c r="I265" s="213" t="s">
        <v>30</v>
      </c>
      <c r="L265" s="208">
        <v>547</v>
      </c>
    </row>
    <row r="266" spans="1:12" ht="15.75">
      <c r="A266" s="212">
        <v>648</v>
      </c>
      <c r="B266" s="213" t="s">
        <v>254</v>
      </c>
      <c r="C266" s="218">
        <v>0</v>
      </c>
      <c r="D266" s="218">
        <v>1833346149.66</v>
      </c>
      <c r="E266" s="215">
        <f t="shared" si="3"/>
        <v>-1833346149.66</v>
      </c>
      <c r="F266" s="213" t="s">
        <v>222</v>
      </c>
      <c r="G266" s="213" t="s">
        <v>79</v>
      </c>
      <c r="H266" s="213" t="s">
        <v>23</v>
      </c>
      <c r="I266" s="213" t="s">
        <v>80</v>
      </c>
      <c r="L266" s="208">
        <v>548</v>
      </c>
    </row>
    <row r="267" spans="1:12" ht="15.75">
      <c r="A267" s="212">
        <v>649</v>
      </c>
      <c r="B267" s="208" t="s">
        <v>864</v>
      </c>
      <c r="C267" s="218">
        <v>0</v>
      </c>
      <c r="D267" s="218">
        <v>148403815.69</v>
      </c>
      <c r="E267" s="216">
        <f t="shared" si="3"/>
        <v>-148403815.69</v>
      </c>
      <c r="F267" s="213" t="s">
        <v>815</v>
      </c>
      <c r="G267" s="213"/>
      <c r="H267" s="213"/>
      <c r="I267" s="213"/>
      <c r="L267" s="208">
        <v>550</v>
      </c>
    </row>
    <row r="268" spans="1:12" ht="15.75">
      <c r="A268" s="212">
        <v>650</v>
      </c>
      <c r="B268" s="213" t="s">
        <v>255</v>
      </c>
      <c r="C268" s="218">
        <v>45325</v>
      </c>
      <c r="D268" s="218">
        <v>0</v>
      </c>
      <c r="E268" s="215">
        <f t="shared" si="3"/>
        <v>45325</v>
      </c>
      <c r="F268" s="213" t="s">
        <v>222</v>
      </c>
      <c r="G268" s="213" t="s">
        <v>22</v>
      </c>
      <c r="H268" s="213" t="s">
        <v>23</v>
      </c>
      <c r="I268" s="213" t="s">
        <v>256</v>
      </c>
      <c r="L268" s="208">
        <v>553</v>
      </c>
    </row>
    <row r="269" spans="1:12" ht="15.75">
      <c r="A269" s="212">
        <v>651</v>
      </c>
      <c r="B269" s="213" t="s">
        <v>257</v>
      </c>
      <c r="C269" s="218">
        <v>0</v>
      </c>
      <c r="D269" s="218">
        <v>10990433</v>
      </c>
      <c r="E269" s="215">
        <f t="shared" si="3"/>
        <v>-10990433</v>
      </c>
      <c r="F269" s="213" t="s">
        <v>222</v>
      </c>
      <c r="G269" s="213" t="s">
        <v>79</v>
      </c>
      <c r="H269" s="213" t="s">
        <v>23</v>
      </c>
      <c r="I269" s="213" t="s">
        <v>80</v>
      </c>
      <c r="L269" s="208">
        <v>554</v>
      </c>
    </row>
    <row r="270" spans="1:12" ht="15.75">
      <c r="A270" s="212">
        <v>660</v>
      </c>
      <c r="B270" s="213" t="s">
        <v>258</v>
      </c>
      <c r="C270" s="218">
        <v>0</v>
      </c>
      <c r="D270" s="218">
        <v>201550</v>
      </c>
      <c r="E270" s="215">
        <f t="shared" si="3"/>
        <v>-201550</v>
      </c>
      <c r="F270" s="213" t="s">
        <v>222</v>
      </c>
      <c r="G270" s="213" t="s">
        <v>79</v>
      </c>
      <c r="H270" s="213" t="s">
        <v>23</v>
      </c>
      <c r="I270" s="213" t="s">
        <v>80</v>
      </c>
      <c r="L270" s="208">
        <v>575</v>
      </c>
    </row>
    <row r="271" spans="1:12" ht="15.75">
      <c r="A271" s="212">
        <v>662</v>
      </c>
      <c r="B271" s="213" t="s">
        <v>259</v>
      </c>
      <c r="C271" s="218">
        <v>133256557.87</v>
      </c>
      <c r="D271" s="218">
        <v>0</v>
      </c>
      <c r="E271" s="215">
        <f t="shared" si="3"/>
        <v>133256557.87</v>
      </c>
      <c r="F271" s="213" t="s">
        <v>222</v>
      </c>
      <c r="G271" s="213" t="s">
        <v>335</v>
      </c>
      <c r="H271" s="213" t="s">
        <v>590</v>
      </c>
      <c r="I271" s="213" t="s">
        <v>371</v>
      </c>
      <c r="L271" s="208">
        <v>576</v>
      </c>
    </row>
    <row r="272" spans="1:12" ht="15.75">
      <c r="A272" s="212">
        <v>663</v>
      </c>
      <c r="B272" s="213" t="s">
        <v>260</v>
      </c>
      <c r="C272" s="218">
        <v>75511</v>
      </c>
      <c r="D272" s="218">
        <v>0</v>
      </c>
      <c r="E272" s="215">
        <f t="shared" si="3"/>
        <v>75511</v>
      </c>
      <c r="F272" s="213" t="s">
        <v>222</v>
      </c>
      <c r="G272" s="213" t="s">
        <v>62</v>
      </c>
      <c r="H272" s="213" t="s">
        <v>23</v>
      </c>
      <c r="I272" s="213" t="s">
        <v>52</v>
      </c>
      <c r="L272" s="208">
        <v>577</v>
      </c>
    </row>
    <row r="273" spans="1:12" ht="15.75">
      <c r="A273" s="212">
        <v>666</v>
      </c>
      <c r="B273" s="213" t="s">
        <v>261</v>
      </c>
      <c r="C273" s="218">
        <v>0</v>
      </c>
      <c r="D273" s="218">
        <v>98681</v>
      </c>
      <c r="E273" s="215">
        <f t="shared" si="3"/>
        <v>-98681</v>
      </c>
      <c r="F273" s="213" t="s">
        <v>222</v>
      </c>
      <c r="G273" s="213" t="s">
        <v>62</v>
      </c>
      <c r="H273" s="213" t="s">
        <v>23</v>
      </c>
      <c r="I273" s="213" t="s">
        <v>44</v>
      </c>
      <c r="L273" s="208">
        <v>594</v>
      </c>
    </row>
    <row r="274" spans="1:12" ht="15.75">
      <c r="A274" s="212">
        <v>671</v>
      </c>
      <c r="B274" s="213" t="s">
        <v>262</v>
      </c>
      <c r="C274" s="218">
        <v>876900</v>
      </c>
      <c r="D274" s="218">
        <v>0</v>
      </c>
      <c r="E274" s="215">
        <f t="shared" si="3"/>
        <v>876900</v>
      </c>
      <c r="F274" s="213" t="s">
        <v>222</v>
      </c>
      <c r="G274" s="213" t="s">
        <v>22</v>
      </c>
      <c r="H274" s="213" t="s">
        <v>23</v>
      </c>
      <c r="I274" s="213" t="s">
        <v>42</v>
      </c>
      <c r="L274" s="208">
        <v>609</v>
      </c>
    </row>
    <row r="275" spans="1:14" ht="15.75">
      <c r="A275" s="212">
        <v>672</v>
      </c>
      <c r="B275" s="208" t="s">
        <v>865</v>
      </c>
      <c r="C275" s="218">
        <v>10000</v>
      </c>
      <c r="D275" s="218">
        <v>0</v>
      </c>
      <c r="E275" s="216">
        <f t="shared" si="3"/>
        <v>10000</v>
      </c>
      <c r="F275" s="213" t="s">
        <v>815</v>
      </c>
      <c r="G275" s="213"/>
      <c r="H275" s="213"/>
      <c r="I275" s="213"/>
      <c r="L275" s="208">
        <v>611</v>
      </c>
      <c r="M275" s="211">
        <f>+L275-A257</f>
        <v>-2</v>
      </c>
      <c r="N275" s="203" t="s">
        <v>831</v>
      </c>
    </row>
    <row r="276" spans="1:12" ht="15.75">
      <c r="A276" s="212">
        <v>677</v>
      </c>
      <c r="B276" s="213" t="s">
        <v>263</v>
      </c>
      <c r="C276" s="218">
        <v>0</v>
      </c>
      <c r="D276" s="218">
        <v>96070584</v>
      </c>
      <c r="E276" s="215">
        <f t="shared" si="3"/>
        <v>-96070584</v>
      </c>
      <c r="F276" s="213" t="s">
        <v>222</v>
      </c>
      <c r="G276" s="213" t="s">
        <v>62</v>
      </c>
      <c r="H276" s="213" t="s">
        <v>23</v>
      </c>
      <c r="I276" s="213" t="s">
        <v>82</v>
      </c>
      <c r="L276" s="208">
        <v>613</v>
      </c>
    </row>
    <row r="277" spans="1:12" ht="15.75">
      <c r="A277" s="212">
        <v>679</v>
      </c>
      <c r="B277" s="213" t="s">
        <v>264</v>
      </c>
      <c r="C277" s="218">
        <v>48005385</v>
      </c>
      <c r="D277" s="218">
        <v>0</v>
      </c>
      <c r="E277" s="215">
        <f t="shared" si="3"/>
        <v>48005385</v>
      </c>
      <c r="F277" s="213" t="s">
        <v>222</v>
      </c>
      <c r="G277" s="213" t="s">
        <v>22</v>
      </c>
      <c r="H277" s="213" t="s">
        <v>23</v>
      </c>
      <c r="I277" s="213" t="s">
        <v>52</v>
      </c>
      <c r="L277" s="208">
        <v>617</v>
      </c>
    </row>
    <row r="278" spans="1:12" ht="15.75">
      <c r="A278" s="212">
        <v>681</v>
      </c>
      <c r="B278" s="213" t="s">
        <v>265</v>
      </c>
      <c r="C278" s="218">
        <v>5623573.51</v>
      </c>
      <c r="D278" s="218">
        <v>0</v>
      </c>
      <c r="E278" s="214">
        <f t="shared" si="3"/>
        <v>5623573.51</v>
      </c>
      <c r="F278" s="213" t="s">
        <v>222</v>
      </c>
      <c r="G278" s="213" t="s">
        <v>29</v>
      </c>
      <c r="H278" s="213" t="s">
        <v>23</v>
      </c>
      <c r="I278" s="213" t="s">
        <v>158</v>
      </c>
      <c r="L278" s="208">
        <v>623</v>
      </c>
    </row>
    <row r="279" spans="1:12" ht="15.75">
      <c r="A279" s="212">
        <v>685</v>
      </c>
      <c r="B279" s="213" t="s">
        <v>266</v>
      </c>
      <c r="C279" s="218">
        <v>0</v>
      </c>
      <c r="D279" s="218">
        <v>326400</v>
      </c>
      <c r="E279" s="215">
        <f aca="true" t="shared" si="4" ref="E279:E363">+C279-D279</f>
        <v>-326400</v>
      </c>
      <c r="F279" s="213" t="s">
        <v>222</v>
      </c>
      <c r="G279" s="213" t="s">
        <v>267</v>
      </c>
      <c r="H279" s="213" t="s">
        <v>23</v>
      </c>
      <c r="I279" s="213" t="s">
        <v>80</v>
      </c>
      <c r="L279" s="208">
        <v>624</v>
      </c>
    </row>
    <row r="280" spans="1:12" ht="15.75">
      <c r="A280" s="212">
        <v>693</v>
      </c>
      <c r="B280" s="213" t="s">
        <v>270</v>
      </c>
      <c r="C280" s="218">
        <v>2342</v>
      </c>
      <c r="D280" s="218">
        <v>0</v>
      </c>
      <c r="E280" s="215">
        <f t="shared" si="4"/>
        <v>2342</v>
      </c>
      <c r="F280" s="213" t="s">
        <v>222</v>
      </c>
      <c r="G280" s="213" t="s">
        <v>22</v>
      </c>
      <c r="H280" s="213" t="s">
        <v>23</v>
      </c>
      <c r="I280" s="213" t="s">
        <v>256</v>
      </c>
      <c r="L280" s="208">
        <v>634</v>
      </c>
    </row>
    <row r="281" spans="1:12" ht="15.75">
      <c r="A281" s="212">
        <v>697</v>
      </c>
      <c r="B281" s="213" t="s">
        <v>271</v>
      </c>
      <c r="C281" s="218">
        <v>2197293.66</v>
      </c>
      <c r="D281" s="218">
        <v>0</v>
      </c>
      <c r="E281" s="215">
        <f t="shared" si="4"/>
        <v>2197293.66</v>
      </c>
      <c r="F281" s="213" t="s">
        <v>222</v>
      </c>
      <c r="G281" s="213" t="s">
        <v>22</v>
      </c>
      <c r="H281" s="213" t="s">
        <v>23</v>
      </c>
      <c r="I281" s="213" t="s">
        <v>272</v>
      </c>
      <c r="L281" s="208">
        <v>635</v>
      </c>
    </row>
    <row r="282" spans="1:12" ht="15.75">
      <c r="A282" s="212">
        <v>698</v>
      </c>
      <c r="B282" s="208" t="s">
        <v>866</v>
      </c>
      <c r="C282" s="218">
        <v>3975298</v>
      </c>
      <c r="D282" s="218">
        <v>0</v>
      </c>
      <c r="E282" s="216">
        <f t="shared" si="4"/>
        <v>3975298</v>
      </c>
      <c r="F282" s="213" t="s">
        <v>815</v>
      </c>
      <c r="G282" s="213"/>
      <c r="H282" s="213"/>
      <c r="I282" s="213"/>
      <c r="L282" s="208">
        <v>637</v>
      </c>
    </row>
    <row r="283" spans="1:12" ht="15.75">
      <c r="A283" s="212">
        <v>699</v>
      </c>
      <c r="B283" s="213" t="s">
        <v>273</v>
      </c>
      <c r="C283" s="218">
        <v>105120</v>
      </c>
      <c r="D283" s="218">
        <v>0</v>
      </c>
      <c r="E283" s="215">
        <f t="shared" si="4"/>
        <v>105120</v>
      </c>
      <c r="F283" s="213" t="s">
        <v>222</v>
      </c>
      <c r="G283" s="213" t="s">
        <v>22</v>
      </c>
      <c r="H283" s="213" t="s">
        <v>23</v>
      </c>
      <c r="I283" s="213" t="s">
        <v>272</v>
      </c>
      <c r="L283" s="208">
        <v>644</v>
      </c>
    </row>
    <row r="284" spans="1:12" ht="15.75">
      <c r="A284" s="212">
        <v>701</v>
      </c>
      <c r="B284" s="213" t="s">
        <v>274</v>
      </c>
      <c r="C284" s="218">
        <v>1090178</v>
      </c>
      <c r="D284" s="218">
        <v>0</v>
      </c>
      <c r="E284" s="215">
        <f t="shared" si="4"/>
        <v>1090178</v>
      </c>
      <c r="F284" s="213" t="s">
        <v>222</v>
      </c>
      <c r="G284" s="213" t="s">
        <v>22</v>
      </c>
      <c r="H284" s="213" t="s">
        <v>23</v>
      </c>
      <c r="I284" s="213" t="s">
        <v>24</v>
      </c>
      <c r="L284" s="208">
        <v>645</v>
      </c>
    </row>
    <row r="285" spans="1:12" ht="15.75">
      <c r="A285" s="212">
        <v>705</v>
      </c>
      <c r="B285" s="213" t="s">
        <v>275</v>
      </c>
      <c r="C285" s="218">
        <v>197460</v>
      </c>
      <c r="D285" s="218">
        <v>0</v>
      </c>
      <c r="E285" s="215">
        <f t="shared" si="4"/>
        <v>197460</v>
      </c>
      <c r="F285" s="213" t="s">
        <v>222</v>
      </c>
      <c r="G285" s="213" t="s">
        <v>22</v>
      </c>
      <c r="H285" s="213" t="s">
        <v>23</v>
      </c>
      <c r="I285" s="213" t="s">
        <v>52</v>
      </c>
      <c r="L285" s="208">
        <v>648</v>
      </c>
    </row>
    <row r="286" spans="1:12" ht="15.75">
      <c r="A286" s="212">
        <v>706</v>
      </c>
      <c r="B286" s="213" t="s">
        <v>276</v>
      </c>
      <c r="C286" s="218">
        <v>0</v>
      </c>
      <c r="D286" s="218">
        <v>83280</v>
      </c>
      <c r="E286" s="215">
        <f t="shared" si="4"/>
        <v>-83280</v>
      </c>
      <c r="F286" s="213" t="s">
        <v>222</v>
      </c>
      <c r="G286" s="213" t="s">
        <v>106</v>
      </c>
      <c r="H286" s="213" t="s">
        <v>13</v>
      </c>
      <c r="I286" s="213" t="s">
        <v>107</v>
      </c>
      <c r="L286" s="208">
        <v>649</v>
      </c>
    </row>
    <row r="287" spans="1:12" ht="15.75">
      <c r="A287" s="212">
        <v>712</v>
      </c>
      <c r="B287" s="213" t="s">
        <v>277</v>
      </c>
      <c r="C287" s="218">
        <v>0</v>
      </c>
      <c r="D287" s="218">
        <v>5000</v>
      </c>
      <c r="E287" s="215">
        <f t="shared" si="4"/>
        <v>-5000</v>
      </c>
      <c r="F287" s="213" t="s">
        <v>222</v>
      </c>
      <c r="G287" s="213" t="s">
        <v>62</v>
      </c>
      <c r="H287" s="213" t="s">
        <v>23</v>
      </c>
      <c r="I287" s="213" t="s">
        <v>82</v>
      </c>
      <c r="L287" s="208">
        <v>650</v>
      </c>
    </row>
    <row r="288" spans="1:12" ht="15.75">
      <c r="A288" s="212">
        <v>714</v>
      </c>
      <c r="B288" s="213" t="s">
        <v>278</v>
      </c>
      <c r="C288" s="218">
        <v>756970</v>
      </c>
      <c r="D288" s="218">
        <v>0</v>
      </c>
      <c r="E288" s="215">
        <f t="shared" si="4"/>
        <v>756970</v>
      </c>
      <c r="F288" s="213" t="s">
        <v>222</v>
      </c>
      <c r="G288" s="213" t="s">
        <v>12</v>
      </c>
      <c r="H288" s="213" t="s">
        <v>13</v>
      </c>
      <c r="I288" s="213" t="s">
        <v>14</v>
      </c>
      <c r="L288" s="208">
        <v>651</v>
      </c>
    </row>
    <row r="289" spans="1:12" ht="15.75">
      <c r="A289" s="212">
        <v>721</v>
      </c>
      <c r="B289" s="213" t="s">
        <v>279</v>
      </c>
      <c r="C289" s="218">
        <v>0</v>
      </c>
      <c r="D289" s="218">
        <v>164259</v>
      </c>
      <c r="E289" s="215">
        <f t="shared" si="4"/>
        <v>-164259</v>
      </c>
      <c r="F289" s="213" t="s">
        <v>222</v>
      </c>
      <c r="G289" s="213" t="s">
        <v>79</v>
      </c>
      <c r="H289" s="213" t="s">
        <v>23</v>
      </c>
      <c r="I289" s="213" t="s">
        <v>103</v>
      </c>
      <c r="L289" s="208">
        <v>660</v>
      </c>
    </row>
    <row r="290" spans="1:12" ht="15.75">
      <c r="A290" s="212">
        <v>731</v>
      </c>
      <c r="B290" s="208" t="s">
        <v>867</v>
      </c>
      <c r="C290" s="218"/>
      <c r="D290" s="218"/>
      <c r="E290" s="214">
        <f t="shared" si="4"/>
        <v>0</v>
      </c>
      <c r="F290" s="213" t="s">
        <v>815</v>
      </c>
      <c r="G290" s="213"/>
      <c r="H290" s="213"/>
      <c r="I290" s="213"/>
      <c r="L290" s="208">
        <v>662</v>
      </c>
    </row>
    <row r="291" spans="1:12" ht="15.75">
      <c r="A291" s="212">
        <v>734</v>
      </c>
      <c r="B291" s="213" t="s">
        <v>280</v>
      </c>
      <c r="C291" s="218">
        <v>0</v>
      </c>
      <c r="D291" s="218">
        <v>32753</v>
      </c>
      <c r="E291" s="215">
        <f t="shared" si="4"/>
        <v>-32753</v>
      </c>
      <c r="F291" s="213" t="s">
        <v>222</v>
      </c>
      <c r="G291" s="213" t="s">
        <v>79</v>
      </c>
      <c r="H291" s="213" t="s">
        <v>23</v>
      </c>
      <c r="I291" s="213" t="s">
        <v>103</v>
      </c>
      <c r="L291" s="208">
        <v>663</v>
      </c>
    </row>
    <row r="292" spans="1:14" ht="15.75">
      <c r="A292" s="212">
        <v>753</v>
      </c>
      <c r="B292" s="208" t="s">
        <v>868</v>
      </c>
      <c r="C292" s="218">
        <v>0</v>
      </c>
      <c r="D292" s="218">
        <v>101</v>
      </c>
      <c r="E292" s="216">
        <f t="shared" si="4"/>
        <v>-101</v>
      </c>
      <c r="F292" s="213" t="s">
        <v>815</v>
      </c>
      <c r="G292" s="213"/>
      <c r="H292" s="213"/>
      <c r="I292" s="213"/>
      <c r="L292" s="208">
        <v>664</v>
      </c>
      <c r="M292" s="211">
        <f>+L292-A273</f>
        <v>-2</v>
      </c>
      <c r="N292" s="203" t="s">
        <v>831</v>
      </c>
    </row>
    <row r="293" spans="1:12" ht="15.75">
      <c r="A293" s="212">
        <v>757</v>
      </c>
      <c r="B293" s="213" t="s">
        <v>281</v>
      </c>
      <c r="C293" s="218">
        <v>0</v>
      </c>
      <c r="D293" s="218">
        <v>30423582.52</v>
      </c>
      <c r="E293" s="215">
        <f t="shared" si="4"/>
        <v>-30423582.52</v>
      </c>
      <c r="F293" s="213" t="s">
        <v>222</v>
      </c>
      <c r="G293" s="213" t="s">
        <v>282</v>
      </c>
      <c r="H293" s="213" t="s">
        <v>23</v>
      </c>
      <c r="I293" s="213" t="s">
        <v>281</v>
      </c>
      <c r="L293" s="208">
        <v>666</v>
      </c>
    </row>
    <row r="294" spans="1:14" ht="15.75">
      <c r="A294" s="212">
        <v>767</v>
      </c>
      <c r="B294" s="213" t="s">
        <v>283</v>
      </c>
      <c r="C294" s="218">
        <v>0</v>
      </c>
      <c r="D294" s="218">
        <v>95543.3</v>
      </c>
      <c r="E294" s="215">
        <f t="shared" si="4"/>
        <v>-95543.3</v>
      </c>
      <c r="F294" s="213" t="s">
        <v>222</v>
      </c>
      <c r="G294" s="213" t="s">
        <v>79</v>
      </c>
      <c r="H294" s="213" t="s">
        <v>23</v>
      </c>
      <c r="I294" s="213" t="s">
        <v>103</v>
      </c>
      <c r="L294" s="208">
        <v>667</v>
      </c>
      <c r="M294" s="211">
        <f>+L294-A274</f>
        <v>-4</v>
      </c>
      <c r="N294" s="203" t="s">
        <v>832</v>
      </c>
    </row>
    <row r="295" spans="1:12" ht="15.75">
      <c r="A295" s="212">
        <v>768</v>
      </c>
      <c r="B295" s="213" t="s">
        <v>284</v>
      </c>
      <c r="C295" s="218">
        <v>57500</v>
      </c>
      <c r="D295" s="218">
        <v>0</v>
      </c>
      <c r="E295" s="215">
        <f t="shared" si="4"/>
        <v>57500</v>
      </c>
      <c r="F295" s="213" t="s">
        <v>222</v>
      </c>
      <c r="G295" s="213" t="s">
        <v>12</v>
      </c>
      <c r="H295" s="213" t="s">
        <v>13</v>
      </c>
      <c r="I295" s="213" t="s">
        <v>14</v>
      </c>
      <c r="L295" s="208">
        <v>671</v>
      </c>
    </row>
    <row r="296" spans="1:12" ht="15.75">
      <c r="A296" s="212">
        <v>769</v>
      </c>
      <c r="B296" s="208" t="s">
        <v>284</v>
      </c>
      <c r="C296" s="218">
        <v>51200</v>
      </c>
      <c r="D296" s="218">
        <v>0</v>
      </c>
      <c r="E296" s="216">
        <f t="shared" si="4"/>
        <v>51200</v>
      </c>
      <c r="F296" s="213" t="s">
        <v>815</v>
      </c>
      <c r="G296" s="213"/>
      <c r="H296" s="213"/>
      <c r="I296" s="213"/>
      <c r="L296" s="208">
        <v>677</v>
      </c>
    </row>
    <row r="297" spans="1:12" ht="15.75">
      <c r="A297" s="212">
        <v>773</v>
      </c>
      <c r="B297" s="213" t="s">
        <v>285</v>
      </c>
      <c r="C297" s="218">
        <v>0</v>
      </c>
      <c r="D297" s="218">
        <v>4084348</v>
      </c>
      <c r="E297" s="215">
        <f t="shared" si="4"/>
        <v>-4084348</v>
      </c>
      <c r="F297" s="213" t="s">
        <v>222</v>
      </c>
      <c r="G297" s="213" t="s">
        <v>286</v>
      </c>
      <c r="H297" s="213" t="s">
        <v>23</v>
      </c>
      <c r="I297" s="213" t="s">
        <v>287</v>
      </c>
      <c r="L297" s="208">
        <v>679</v>
      </c>
    </row>
    <row r="298" spans="1:12" ht="15.75">
      <c r="A298" s="212">
        <v>774</v>
      </c>
      <c r="B298" s="213" t="s">
        <v>288</v>
      </c>
      <c r="C298" s="218">
        <v>558892</v>
      </c>
      <c r="D298" s="218">
        <v>0</v>
      </c>
      <c r="E298" s="215">
        <f t="shared" si="4"/>
        <v>558892</v>
      </c>
      <c r="F298" s="213" t="s">
        <v>222</v>
      </c>
      <c r="G298" s="213" t="s">
        <v>289</v>
      </c>
      <c r="H298" s="213" t="s">
        <v>13</v>
      </c>
      <c r="I298" s="213" t="s">
        <v>290</v>
      </c>
      <c r="L298" s="208">
        <v>681</v>
      </c>
    </row>
    <row r="299" spans="1:12" ht="15.75">
      <c r="A299" s="212">
        <v>778</v>
      </c>
      <c r="B299" s="213" t="s">
        <v>291</v>
      </c>
      <c r="C299" s="218">
        <v>2711993</v>
      </c>
      <c r="D299" s="218">
        <v>0</v>
      </c>
      <c r="E299" s="215">
        <f t="shared" si="4"/>
        <v>2711993</v>
      </c>
      <c r="F299" s="213" t="s">
        <v>222</v>
      </c>
      <c r="G299" s="213" t="s">
        <v>32</v>
      </c>
      <c r="H299" s="213" t="s">
        <v>13</v>
      </c>
      <c r="I299" s="213" t="s">
        <v>33</v>
      </c>
      <c r="L299" s="208">
        <v>685</v>
      </c>
    </row>
    <row r="300" spans="1:12" ht="15.75">
      <c r="A300" s="212">
        <v>780</v>
      </c>
      <c r="B300" s="208" t="s">
        <v>869</v>
      </c>
      <c r="C300" s="218">
        <v>2466472</v>
      </c>
      <c r="D300" s="218">
        <v>0</v>
      </c>
      <c r="E300" s="216">
        <f t="shared" si="4"/>
        <v>2466472</v>
      </c>
      <c r="F300" s="213" t="s">
        <v>815</v>
      </c>
      <c r="G300" s="213"/>
      <c r="H300" s="213"/>
      <c r="I300" s="213"/>
      <c r="L300" s="208">
        <v>693</v>
      </c>
    </row>
    <row r="301" spans="1:12" ht="15.75">
      <c r="A301" s="212">
        <v>784</v>
      </c>
      <c r="B301" s="213" t="s">
        <v>292</v>
      </c>
      <c r="C301" s="218">
        <v>313109</v>
      </c>
      <c r="D301" s="218">
        <v>0</v>
      </c>
      <c r="E301" s="215">
        <f t="shared" si="4"/>
        <v>313109</v>
      </c>
      <c r="F301" s="213" t="s">
        <v>222</v>
      </c>
      <c r="G301" s="213" t="s">
        <v>22</v>
      </c>
      <c r="H301" s="213" t="s">
        <v>23</v>
      </c>
      <c r="I301" s="213" t="s">
        <v>24</v>
      </c>
      <c r="L301" s="208">
        <v>697</v>
      </c>
    </row>
    <row r="302" spans="1:12" ht="15.75">
      <c r="A302" s="212">
        <v>826</v>
      </c>
      <c r="B302" s="213" t="s">
        <v>293</v>
      </c>
      <c r="C302" s="218">
        <v>677841</v>
      </c>
      <c r="D302" s="218">
        <v>0</v>
      </c>
      <c r="E302" s="215">
        <f t="shared" si="4"/>
        <v>677841</v>
      </c>
      <c r="F302" s="213" t="s">
        <v>222</v>
      </c>
      <c r="G302" s="213" t="s">
        <v>22</v>
      </c>
      <c r="H302" s="213" t="s">
        <v>23</v>
      </c>
      <c r="I302" s="213" t="s">
        <v>52</v>
      </c>
      <c r="L302" s="208">
        <v>698</v>
      </c>
    </row>
    <row r="303" spans="1:12" ht="15.75">
      <c r="A303" s="212">
        <v>828</v>
      </c>
      <c r="B303" s="213" t="s">
        <v>296</v>
      </c>
      <c r="C303" s="218">
        <v>326400</v>
      </c>
      <c r="D303" s="218">
        <v>0</v>
      </c>
      <c r="E303" s="215">
        <f t="shared" si="4"/>
        <v>326400</v>
      </c>
      <c r="F303" s="213" t="s">
        <v>222</v>
      </c>
      <c r="G303" s="213" t="s">
        <v>79</v>
      </c>
      <c r="H303" s="213" t="s">
        <v>23</v>
      </c>
      <c r="I303" s="213" t="s">
        <v>80</v>
      </c>
      <c r="L303" s="208">
        <v>699</v>
      </c>
    </row>
    <row r="304" spans="1:12" ht="15.75">
      <c r="A304" s="212">
        <v>831</v>
      </c>
      <c r="B304" s="213" t="s">
        <v>948</v>
      </c>
      <c r="C304" s="218"/>
      <c r="D304" s="218">
        <v>162120384</v>
      </c>
      <c r="E304" s="215">
        <f t="shared" si="4"/>
        <v>-162120384</v>
      </c>
      <c r="F304" s="213" t="s">
        <v>222</v>
      </c>
      <c r="G304" s="213"/>
      <c r="H304" s="213"/>
      <c r="I304" s="213"/>
      <c r="J304" s="203" t="s">
        <v>949</v>
      </c>
      <c r="L304" s="208">
        <v>701</v>
      </c>
    </row>
    <row r="305" spans="1:12" ht="15.75">
      <c r="A305" s="212">
        <v>835</v>
      </c>
      <c r="B305" s="213" t="s">
        <v>297</v>
      </c>
      <c r="C305" s="218">
        <v>0</v>
      </c>
      <c r="D305" s="218">
        <v>29872</v>
      </c>
      <c r="E305" s="215">
        <f t="shared" si="4"/>
        <v>-29872</v>
      </c>
      <c r="F305" s="213" t="s">
        <v>222</v>
      </c>
      <c r="G305" s="213" t="s">
        <v>79</v>
      </c>
      <c r="H305" s="213" t="s">
        <v>23</v>
      </c>
      <c r="I305" s="213" t="s">
        <v>103</v>
      </c>
      <c r="L305" s="208">
        <v>705</v>
      </c>
    </row>
    <row r="306" spans="1:12" ht="15.75">
      <c r="A306" s="212">
        <v>850</v>
      </c>
      <c r="B306" s="213" t="s">
        <v>298</v>
      </c>
      <c r="C306" s="218">
        <v>0</v>
      </c>
      <c r="D306" s="218">
        <v>300</v>
      </c>
      <c r="E306" s="215">
        <f t="shared" si="4"/>
        <v>-300</v>
      </c>
      <c r="F306" s="213" t="s">
        <v>222</v>
      </c>
      <c r="G306" s="213" t="s">
        <v>79</v>
      </c>
      <c r="H306" s="213" t="s">
        <v>23</v>
      </c>
      <c r="I306" s="213" t="s">
        <v>103</v>
      </c>
      <c r="L306" s="208">
        <v>706</v>
      </c>
    </row>
    <row r="307" spans="1:12" ht="15.75">
      <c r="A307" s="212">
        <v>863</v>
      </c>
      <c r="B307" s="213" t="s">
        <v>299</v>
      </c>
      <c r="C307" s="218">
        <v>0</v>
      </c>
      <c r="D307" s="218">
        <v>223272</v>
      </c>
      <c r="E307" s="215">
        <f t="shared" si="4"/>
        <v>-223272</v>
      </c>
      <c r="F307" s="213" t="s">
        <v>222</v>
      </c>
      <c r="G307" s="213" t="s">
        <v>79</v>
      </c>
      <c r="H307" s="213" t="s">
        <v>23</v>
      </c>
      <c r="I307" s="213" t="s">
        <v>103</v>
      </c>
      <c r="L307" s="208">
        <v>712</v>
      </c>
    </row>
    <row r="308" spans="1:14" ht="15.75">
      <c r="A308" s="212">
        <v>867</v>
      </c>
      <c r="B308" s="213" t="s">
        <v>300</v>
      </c>
      <c r="C308" s="218">
        <v>0</v>
      </c>
      <c r="D308" s="218">
        <v>135848</v>
      </c>
      <c r="E308" s="215">
        <f t="shared" si="4"/>
        <v>-135848</v>
      </c>
      <c r="F308" s="213" t="s">
        <v>222</v>
      </c>
      <c r="G308" s="213" t="s">
        <v>79</v>
      </c>
      <c r="H308" s="213" t="s">
        <v>23</v>
      </c>
      <c r="I308" s="213" t="s">
        <v>103</v>
      </c>
      <c r="L308" s="208">
        <v>713</v>
      </c>
      <c r="M308" s="211">
        <f>+L308-A288</f>
        <v>-1</v>
      </c>
      <c r="N308" s="203" t="s">
        <v>832</v>
      </c>
    </row>
    <row r="309" spans="1:12" ht="15.75">
      <c r="A309" s="212">
        <v>870</v>
      </c>
      <c r="B309" s="213" t="s">
        <v>301</v>
      </c>
      <c r="C309" s="218">
        <v>0</v>
      </c>
      <c r="D309" s="218">
        <v>52610</v>
      </c>
      <c r="E309" s="215">
        <f t="shared" si="4"/>
        <v>-52610</v>
      </c>
      <c r="F309" s="213" t="s">
        <v>222</v>
      </c>
      <c r="G309" s="213" t="s">
        <v>79</v>
      </c>
      <c r="H309" s="213" t="s">
        <v>23</v>
      </c>
      <c r="I309" s="213" t="s">
        <v>103</v>
      </c>
      <c r="L309" s="208">
        <v>714</v>
      </c>
    </row>
    <row r="310" spans="1:12" ht="15.75">
      <c r="A310" s="212">
        <v>874</v>
      </c>
      <c r="B310" s="213" t="s">
        <v>302</v>
      </c>
      <c r="C310" s="218">
        <v>400758</v>
      </c>
      <c r="D310" s="218">
        <v>0</v>
      </c>
      <c r="E310" s="215">
        <f t="shared" si="4"/>
        <v>400758</v>
      </c>
      <c r="F310" s="213" t="s">
        <v>222</v>
      </c>
      <c r="G310" s="213" t="s">
        <v>32</v>
      </c>
      <c r="H310" s="213" t="s">
        <v>13</v>
      </c>
      <c r="I310" s="213" t="s">
        <v>33</v>
      </c>
      <c r="L310" s="208">
        <v>721</v>
      </c>
    </row>
    <row r="311" spans="1:14" ht="15.75">
      <c r="A311" s="212">
        <v>881</v>
      </c>
      <c r="B311" s="213" t="s">
        <v>303</v>
      </c>
      <c r="C311" s="218">
        <v>715871.32</v>
      </c>
      <c r="D311" s="218">
        <v>0</v>
      </c>
      <c r="E311" s="215">
        <f t="shared" si="4"/>
        <v>715871.32</v>
      </c>
      <c r="F311" s="213" t="s">
        <v>222</v>
      </c>
      <c r="G311" s="213" t="s">
        <v>22</v>
      </c>
      <c r="H311" s="213" t="s">
        <v>23</v>
      </c>
      <c r="I311" s="213" t="s">
        <v>24</v>
      </c>
      <c r="L311" s="208">
        <v>726</v>
      </c>
      <c r="M311" s="211">
        <f>+L311-A290</f>
        <v>-5</v>
      </c>
      <c r="N311" s="203" t="s">
        <v>831</v>
      </c>
    </row>
    <row r="312" spans="1:14" ht="15.75">
      <c r="A312" s="212">
        <v>883</v>
      </c>
      <c r="B312" s="213" t="s">
        <v>304</v>
      </c>
      <c r="C312" s="218">
        <v>0</v>
      </c>
      <c r="D312" s="218">
        <v>630530</v>
      </c>
      <c r="E312" s="215">
        <f t="shared" si="4"/>
        <v>-630530</v>
      </c>
      <c r="F312" s="213" t="s">
        <v>222</v>
      </c>
      <c r="G312" s="213" t="s">
        <v>79</v>
      </c>
      <c r="H312" s="213" t="s">
        <v>23</v>
      </c>
      <c r="I312" s="213" t="s">
        <v>103</v>
      </c>
      <c r="L312" s="208">
        <v>734</v>
      </c>
      <c r="M312" s="211"/>
      <c r="N312" s="203" t="s">
        <v>831</v>
      </c>
    </row>
    <row r="313" spans="1:14" ht="15.75">
      <c r="A313" s="212">
        <v>902</v>
      </c>
      <c r="B313" s="213" t="s">
        <v>163</v>
      </c>
      <c r="C313" s="218">
        <v>1362000</v>
      </c>
      <c r="D313" s="218">
        <v>0</v>
      </c>
      <c r="E313" s="214">
        <f t="shared" si="4"/>
        <v>1362000</v>
      </c>
      <c r="F313" s="213" t="s">
        <v>222</v>
      </c>
      <c r="G313" s="213" t="s">
        <v>29</v>
      </c>
      <c r="H313" s="213" t="s">
        <v>23</v>
      </c>
      <c r="I313" s="213" t="s">
        <v>158</v>
      </c>
      <c r="L313" s="208">
        <v>740</v>
      </c>
      <c r="M313" s="211">
        <f>+L313-A292</f>
        <v>-13</v>
      </c>
      <c r="N313" s="203" t="s">
        <v>831</v>
      </c>
    </row>
    <row r="314" spans="1:12" ht="15.75">
      <c r="A314" s="212">
        <v>904</v>
      </c>
      <c r="B314" s="213" t="s">
        <v>164</v>
      </c>
      <c r="C314" s="219">
        <v>0</v>
      </c>
      <c r="D314" s="218"/>
      <c r="E314" s="220">
        <f t="shared" si="4"/>
        <v>0</v>
      </c>
      <c r="F314" s="213" t="s">
        <v>222</v>
      </c>
      <c r="G314" s="213" t="s">
        <v>29</v>
      </c>
      <c r="H314" s="213" t="s">
        <v>23</v>
      </c>
      <c r="I314" s="213" t="s">
        <v>158</v>
      </c>
      <c r="L314" s="208">
        <v>753</v>
      </c>
    </row>
    <row r="315" spans="1:12" ht="15.75">
      <c r="A315" s="212">
        <v>906</v>
      </c>
      <c r="B315" s="213" t="s">
        <v>305</v>
      </c>
      <c r="C315" s="219">
        <v>0</v>
      </c>
      <c r="D315" s="218"/>
      <c r="E315" s="220">
        <f t="shared" si="4"/>
        <v>0</v>
      </c>
      <c r="F315" s="213" t="s">
        <v>222</v>
      </c>
      <c r="G315" s="213" t="s">
        <v>29</v>
      </c>
      <c r="H315" s="213" t="s">
        <v>23</v>
      </c>
      <c r="I315" s="213" t="s">
        <v>158</v>
      </c>
      <c r="L315" s="208">
        <v>757</v>
      </c>
    </row>
    <row r="316" spans="1:12" ht="15.75">
      <c r="A316" s="212">
        <v>908</v>
      </c>
      <c r="B316" s="213" t="s">
        <v>306</v>
      </c>
      <c r="C316" s="219">
        <v>1019521</v>
      </c>
      <c r="D316" s="219">
        <v>0</v>
      </c>
      <c r="E316" s="214">
        <f t="shared" si="4"/>
        <v>1019521</v>
      </c>
      <c r="F316" s="213" t="s">
        <v>222</v>
      </c>
      <c r="G316" s="213" t="s">
        <v>29</v>
      </c>
      <c r="H316" s="213" t="s">
        <v>23</v>
      </c>
      <c r="I316" s="213" t="s">
        <v>158</v>
      </c>
      <c r="L316" s="208">
        <v>767</v>
      </c>
    </row>
    <row r="317" spans="1:12" ht="15.75">
      <c r="A317" s="212">
        <v>910</v>
      </c>
      <c r="B317" s="213" t="s">
        <v>180</v>
      </c>
      <c r="C317" s="219">
        <v>0</v>
      </c>
      <c r="D317" s="219">
        <v>0.2</v>
      </c>
      <c r="E317" s="214">
        <f t="shared" si="4"/>
        <v>-0.2</v>
      </c>
      <c r="F317" s="213" t="s">
        <v>222</v>
      </c>
      <c r="G317" s="213" t="s">
        <v>29</v>
      </c>
      <c r="H317" s="213" t="s">
        <v>23</v>
      </c>
      <c r="I317" s="213" t="s">
        <v>158</v>
      </c>
      <c r="L317" s="208">
        <v>768</v>
      </c>
    </row>
    <row r="318" spans="1:12" ht="15.75">
      <c r="A318" s="212">
        <v>912</v>
      </c>
      <c r="B318" s="213" t="s">
        <v>307</v>
      </c>
      <c r="C318" s="219">
        <v>1640073</v>
      </c>
      <c r="D318" s="219">
        <v>0</v>
      </c>
      <c r="E318" s="214">
        <f t="shared" si="4"/>
        <v>1640073</v>
      </c>
      <c r="F318" s="213" t="s">
        <v>222</v>
      </c>
      <c r="G318" s="213" t="s">
        <v>29</v>
      </c>
      <c r="H318" s="213" t="s">
        <v>23</v>
      </c>
      <c r="I318" s="213" t="s">
        <v>158</v>
      </c>
      <c r="L318" s="208">
        <v>769</v>
      </c>
    </row>
    <row r="319" spans="1:12" ht="15.75">
      <c r="A319" s="212">
        <v>914</v>
      </c>
      <c r="B319" s="213" t="s">
        <v>157</v>
      </c>
      <c r="C319" s="219">
        <v>0</v>
      </c>
      <c r="D319" s="218"/>
      <c r="E319" s="220">
        <f t="shared" si="4"/>
        <v>0</v>
      </c>
      <c r="F319" s="213" t="s">
        <v>222</v>
      </c>
      <c r="G319" s="221" t="s">
        <v>29</v>
      </c>
      <c r="H319" s="221" t="s">
        <v>23</v>
      </c>
      <c r="I319" s="213" t="s">
        <v>158</v>
      </c>
      <c r="L319" s="208">
        <v>773</v>
      </c>
    </row>
    <row r="320" spans="1:12" ht="15.75">
      <c r="A320" s="212">
        <v>916</v>
      </c>
      <c r="B320" s="208" t="s">
        <v>307</v>
      </c>
      <c r="C320" s="218">
        <v>0</v>
      </c>
      <c r="D320" s="218"/>
      <c r="E320" s="214">
        <f t="shared" si="4"/>
        <v>0</v>
      </c>
      <c r="F320" s="213" t="s">
        <v>815</v>
      </c>
      <c r="G320" s="221"/>
      <c r="H320" s="221"/>
      <c r="I320" s="213"/>
      <c r="L320" s="208">
        <v>774</v>
      </c>
    </row>
    <row r="321" spans="1:12" ht="15.75">
      <c r="A321" s="212">
        <v>918</v>
      </c>
      <c r="B321" s="208" t="s">
        <v>870</v>
      </c>
      <c r="C321" s="218">
        <v>3834209</v>
      </c>
      <c r="D321" s="218">
        <v>0</v>
      </c>
      <c r="E321" s="214">
        <f t="shared" si="4"/>
        <v>3834209</v>
      </c>
      <c r="F321" s="213" t="s">
        <v>815</v>
      </c>
      <c r="G321" s="221"/>
      <c r="H321" s="221"/>
      <c r="I321" s="213"/>
      <c r="L321" s="208">
        <v>778</v>
      </c>
    </row>
    <row r="322" spans="1:12" ht="15.75">
      <c r="A322" s="212">
        <v>920</v>
      </c>
      <c r="B322" s="208" t="s">
        <v>871</v>
      </c>
      <c r="C322" s="218">
        <f>6100664+12623</f>
        <v>6113287</v>
      </c>
      <c r="D322" s="218">
        <v>0</v>
      </c>
      <c r="E322" s="214">
        <f t="shared" si="4"/>
        <v>6113287</v>
      </c>
      <c r="F322" s="213" t="s">
        <v>815</v>
      </c>
      <c r="G322" s="221"/>
      <c r="H322" s="221"/>
      <c r="I322" s="213"/>
      <c r="L322" s="208">
        <v>784</v>
      </c>
    </row>
    <row r="323" spans="1:14" ht="15.75">
      <c r="A323" s="212">
        <v>921</v>
      </c>
      <c r="B323" s="213" t="s">
        <v>308</v>
      </c>
      <c r="C323" s="218">
        <v>16889</v>
      </c>
      <c r="D323" s="218">
        <v>0</v>
      </c>
      <c r="E323" s="214">
        <f t="shared" si="4"/>
        <v>16889</v>
      </c>
      <c r="F323" s="213" t="s">
        <v>815</v>
      </c>
      <c r="G323" s="213" t="s">
        <v>29</v>
      </c>
      <c r="H323" s="213" t="s">
        <v>23</v>
      </c>
      <c r="I323" s="213" t="s">
        <v>158</v>
      </c>
      <c r="L323" s="208">
        <v>819</v>
      </c>
      <c r="M323" s="211">
        <f>+L323-A302</f>
        <v>-7</v>
      </c>
      <c r="N323" s="203" t="s">
        <v>832</v>
      </c>
    </row>
    <row r="324" spans="1:12" ht="15.75">
      <c r="A324" s="212">
        <v>922</v>
      </c>
      <c r="B324" s="208" t="s">
        <v>872</v>
      </c>
      <c r="C324" s="218">
        <v>2886190</v>
      </c>
      <c r="D324" s="218">
        <v>0</v>
      </c>
      <c r="E324" s="214">
        <f t="shared" si="4"/>
        <v>2886190</v>
      </c>
      <c r="F324" s="213" t="s">
        <v>815</v>
      </c>
      <c r="G324" s="213"/>
      <c r="H324" s="213"/>
      <c r="I324" s="213"/>
      <c r="L324" s="208">
        <v>828</v>
      </c>
    </row>
    <row r="325" spans="1:12" ht="15.75">
      <c r="A325" s="212">
        <v>924</v>
      </c>
      <c r="B325" s="208" t="s">
        <v>873</v>
      </c>
      <c r="C325" s="218">
        <v>59293939.6</v>
      </c>
      <c r="D325" s="218">
        <v>0</v>
      </c>
      <c r="E325" s="214">
        <f t="shared" si="4"/>
        <v>59293939.6</v>
      </c>
      <c r="F325" s="213" t="s">
        <v>815</v>
      </c>
      <c r="G325" s="213"/>
      <c r="H325" s="213"/>
      <c r="I325" s="213"/>
      <c r="L325" s="208">
        <v>835</v>
      </c>
    </row>
    <row r="326" spans="1:12" ht="15.75">
      <c r="A326" s="212">
        <v>926</v>
      </c>
      <c r="B326" s="208" t="s">
        <v>853</v>
      </c>
      <c r="C326" s="218">
        <v>1797541.4</v>
      </c>
      <c r="D326" s="218">
        <v>0</v>
      </c>
      <c r="E326" s="214">
        <f t="shared" si="4"/>
        <v>1797541.4</v>
      </c>
      <c r="F326" s="213" t="s">
        <v>815</v>
      </c>
      <c r="G326" s="213"/>
      <c r="H326" s="213"/>
      <c r="I326" s="213"/>
      <c r="L326" s="208">
        <v>850</v>
      </c>
    </row>
    <row r="327" spans="1:12" ht="15.75">
      <c r="A327" s="212">
        <v>928</v>
      </c>
      <c r="B327" s="208" t="s">
        <v>850</v>
      </c>
      <c r="C327" s="218">
        <v>5402846</v>
      </c>
      <c r="D327" s="218">
        <v>0</v>
      </c>
      <c r="E327" s="214">
        <f t="shared" si="4"/>
        <v>5402846</v>
      </c>
      <c r="F327" s="213" t="s">
        <v>815</v>
      </c>
      <c r="G327" s="213"/>
      <c r="H327" s="213"/>
      <c r="I327" s="213"/>
      <c r="L327" s="208">
        <v>863</v>
      </c>
    </row>
    <row r="328" spans="1:12" ht="15.75">
      <c r="A328" s="212">
        <v>933</v>
      </c>
      <c r="B328" s="213" t="s">
        <v>309</v>
      </c>
      <c r="C328" s="218">
        <v>0</v>
      </c>
      <c r="D328" s="218">
        <v>200000</v>
      </c>
      <c r="E328" s="215">
        <f t="shared" si="4"/>
        <v>-200000</v>
      </c>
      <c r="F328" s="213" t="s">
        <v>222</v>
      </c>
      <c r="G328" s="213" t="s">
        <v>79</v>
      </c>
      <c r="H328" s="213" t="s">
        <v>23</v>
      </c>
      <c r="I328" s="213" t="s">
        <v>30</v>
      </c>
      <c r="L328" s="208">
        <v>867</v>
      </c>
    </row>
    <row r="329" spans="1:12" ht="15.75">
      <c r="A329" s="212">
        <v>939</v>
      </c>
      <c r="B329" s="208" t="s">
        <v>874</v>
      </c>
      <c r="C329" s="218">
        <v>0</v>
      </c>
      <c r="D329" s="218">
        <v>30265</v>
      </c>
      <c r="E329" s="216">
        <f t="shared" si="4"/>
        <v>-30265</v>
      </c>
      <c r="F329" s="213" t="s">
        <v>815</v>
      </c>
      <c r="G329" s="213"/>
      <c r="H329" s="213"/>
      <c r="I329" s="213"/>
      <c r="L329" s="208">
        <v>870</v>
      </c>
    </row>
    <row r="330" spans="1:12" ht="15.75">
      <c r="A330" s="212">
        <v>941</v>
      </c>
      <c r="B330" s="208" t="s">
        <v>875</v>
      </c>
      <c r="C330" s="218">
        <v>0</v>
      </c>
      <c r="D330" s="218">
        <v>707077.5</v>
      </c>
      <c r="E330" s="216">
        <f t="shared" si="4"/>
        <v>-707077.5</v>
      </c>
      <c r="F330" s="213" t="s">
        <v>815</v>
      </c>
      <c r="G330" s="213"/>
      <c r="H330" s="213"/>
      <c r="I330" s="213"/>
      <c r="L330" s="208">
        <v>874</v>
      </c>
    </row>
    <row r="331" spans="1:12" ht="15.75">
      <c r="A331" s="212">
        <v>946</v>
      </c>
      <c r="B331" s="213" t="s">
        <v>310</v>
      </c>
      <c r="C331" s="218">
        <v>0</v>
      </c>
      <c r="D331" s="218">
        <v>54560</v>
      </c>
      <c r="E331" s="215">
        <f t="shared" si="4"/>
        <v>-54560</v>
      </c>
      <c r="F331" s="213" t="s">
        <v>222</v>
      </c>
      <c r="G331" s="213" t="s">
        <v>79</v>
      </c>
      <c r="H331" s="213" t="s">
        <v>23</v>
      </c>
      <c r="I331" s="213" t="s">
        <v>30</v>
      </c>
      <c r="L331" s="208">
        <v>881</v>
      </c>
    </row>
    <row r="332" spans="1:12" ht="15.75">
      <c r="A332" s="212">
        <v>951</v>
      </c>
      <c r="B332" s="213" t="s">
        <v>311</v>
      </c>
      <c r="C332" s="218">
        <v>0</v>
      </c>
      <c r="D332" s="218">
        <v>57040</v>
      </c>
      <c r="E332" s="215">
        <f t="shared" si="4"/>
        <v>-57040</v>
      </c>
      <c r="F332" s="213" t="s">
        <v>222</v>
      </c>
      <c r="G332" s="213" t="s">
        <v>79</v>
      </c>
      <c r="H332" s="213" t="s">
        <v>23</v>
      </c>
      <c r="I332" s="213" t="s">
        <v>103</v>
      </c>
      <c r="L332" s="208">
        <v>883</v>
      </c>
    </row>
    <row r="333" spans="1:12" ht="15.75">
      <c r="A333" s="212">
        <v>952</v>
      </c>
      <c r="B333" s="213" t="s">
        <v>312</v>
      </c>
      <c r="C333" s="218">
        <v>0</v>
      </c>
      <c r="D333" s="218">
        <v>45503</v>
      </c>
      <c r="E333" s="215">
        <f t="shared" si="4"/>
        <v>-45503</v>
      </c>
      <c r="F333" s="213" t="s">
        <v>222</v>
      </c>
      <c r="G333" s="213" t="s">
        <v>79</v>
      </c>
      <c r="H333" s="213" t="s">
        <v>23</v>
      </c>
      <c r="I333" s="213" t="s">
        <v>103</v>
      </c>
      <c r="L333" s="208">
        <v>908</v>
      </c>
    </row>
    <row r="334" spans="1:12" ht="15.75">
      <c r="A334" s="212">
        <v>957</v>
      </c>
      <c r="B334" s="208" t="s">
        <v>876</v>
      </c>
      <c r="C334" s="218">
        <v>0</v>
      </c>
      <c r="D334" s="218"/>
      <c r="E334" s="214">
        <f t="shared" si="4"/>
        <v>0</v>
      </c>
      <c r="F334" s="213" t="s">
        <v>815</v>
      </c>
      <c r="G334" s="213"/>
      <c r="H334" s="213"/>
      <c r="I334" s="213"/>
      <c r="L334" s="208">
        <v>910</v>
      </c>
    </row>
    <row r="335" spans="1:12" ht="15.75">
      <c r="A335" s="212">
        <v>961</v>
      </c>
      <c r="B335" s="213" t="s">
        <v>313</v>
      </c>
      <c r="C335" s="218">
        <v>0</v>
      </c>
      <c r="D335" s="218">
        <v>104040</v>
      </c>
      <c r="E335" s="215">
        <f t="shared" si="4"/>
        <v>-104040</v>
      </c>
      <c r="F335" s="213" t="s">
        <v>222</v>
      </c>
      <c r="G335" s="213" t="s">
        <v>79</v>
      </c>
      <c r="H335" s="213" t="s">
        <v>23</v>
      </c>
      <c r="I335" s="213" t="s">
        <v>103</v>
      </c>
      <c r="L335" s="208">
        <v>912</v>
      </c>
    </row>
    <row r="336" spans="1:12" ht="15.75">
      <c r="A336" s="212">
        <v>966</v>
      </c>
      <c r="B336" s="213" t="s">
        <v>314</v>
      </c>
      <c r="C336" s="218">
        <v>0</v>
      </c>
      <c r="D336" s="218">
        <v>7650</v>
      </c>
      <c r="E336" s="215">
        <f t="shared" si="4"/>
        <v>-7650</v>
      </c>
      <c r="F336" s="213" t="s">
        <v>222</v>
      </c>
      <c r="G336" s="213" t="s">
        <v>79</v>
      </c>
      <c r="H336" s="213" t="s">
        <v>23</v>
      </c>
      <c r="I336" s="213" t="s">
        <v>103</v>
      </c>
      <c r="L336" s="208">
        <v>916</v>
      </c>
    </row>
    <row r="337" spans="1:12" ht="15.75">
      <c r="A337" s="212">
        <v>967</v>
      </c>
      <c r="B337" s="213" t="s">
        <v>315</v>
      </c>
      <c r="C337" s="218">
        <v>475516</v>
      </c>
      <c r="D337" s="218">
        <v>0</v>
      </c>
      <c r="E337" s="214">
        <f t="shared" si="4"/>
        <v>475516</v>
      </c>
      <c r="F337" s="213" t="s">
        <v>222</v>
      </c>
      <c r="G337" s="213" t="s">
        <v>29</v>
      </c>
      <c r="H337" s="213" t="s">
        <v>23</v>
      </c>
      <c r="I337" s="213" t="s">
        <v>158</v>
      </c>
      <c r="L337" s="208">
        <v>918</v>
      </c>
    </row>
    <row r="338" spans="1:12" ht="15.75">
      <c r="A338" s="212">
        <v>968</v>
      </c>
      <c r="B338" s="213" t="s">
        <v>316</v>
      </c>
      <c r="C338" s="218">
        <v>0</v>
      </c>
      <c r="D338" s="218">
        <v>452929</v>
      </c>
      <c r="E338" s="215">
        <f t="shared" si="4"/>
        <v>-452929</v>
      </c>
      <c r="F338" s="213" t="s">
        <v>222</v>
      </c>
      <c r="G338" s="213" t="s">
        <v>79</v>
      </c>
      <c r="H338" s="213" t="s">
        <v>23</v>
      </c>
      <c r="I338" s="213" t="s">
        <v>80</v>
      </c>
      <c r="L338" s="208">
        <v>920</v>
      </c>
    </row>
    <row r="339" spans="1:12" ht="15.75">
      <c r="A339" s="212">
        <v>970</v>
      </c>
      <c r="B339" s="213" t="s">
        <v>317</v>
      </c>
      <c r="C339" s="218">
        <v>413653</v>
      </c>
      <c r="D339" s="218">
        <v>0</v>
      </c>
      <c r="E339" s="215">
        <f t="shared" si="4"/>
        <v>413653</v>
      </c>
      <c r="F339" s="213" t="s">
        <v>222</v>
      </c>
      <c r="G339" s="213" t="s">
        <v>22</v>
      </c>
      <c r="H339" s="213" t="s">
        <v>23</v>
      </c>
      <c r="I339" s="213" t="s">
        <v>24</v>
      </c>
      <c r="L339" s="208">
        <v>922</v>
      </c>
    </row>
    <row r="340" spans="1:12" ht="15.75">
      <c r="A340" s="212">
        <v>972</v>
      </c>
      <c r="B340" s="213" t="s">
        <v>318</v>
      </c>
      <c r="C340" s="218">
        <v>0</v>
      </c>
      <c r="D340" s="218">
        <v>519686</v>
      </c>
      <c r="E340" s="215">
        <f t="shared" si="4"/>
        <v>-519686</v>
      </c>
      <c r="F340" s="213" t="s">
        <v>222</v>
      </c>
      <c r="G340" s="213" t="s">
        <v>79</v>
      </c>
      <c r="H340" s="213" t="s">
        <v>23</v>
      </c>
      <c r="I340" s="213" t="s">
        <v>80</v>
      </c>
      <c r="L340" s="208">
        <v>924</v>
      </c>
    </row>
    <row r="341" spans="1:12" ht="15.75">
      <c r="A341" s="212">
        <v>975</v>
      </c>
      <c r="B341" s="213" t="s">
        <v>319</v>
      </c>
      <c r="C341" s="218">
        <v>0</v>
      </c>
      <c r="D341" s="218">
        <v>16743</v>
      </c>
      <c r="E341" s="215">
        <f t="shared" si="4"/>
        <v>-16743</v>
      </c>
      <c r="F341" s="213" t="s">
        <v>222</v>
      </c>
      <c r="G341" s="213" t="s">
        <v>79</v>
      </c>
      <c r="H341" s="213" t="s">
        <v>23</v>
      </c>
      <c r="I341" s="213" t="s">
        <v>103</v>
      </c>
      <c r="L341" s="208">
        <v>926</v>
      </c>
    </row>
    <row r="342" spans="1:12" ht="15.75">
      <c r="A342" s="212">
        <v>980</v>
      </c>
      <c r="B342" s="208" t="s">
        <v>877</v>
      </c>
      <c r="C342" s="218">
        <v>0</v>
      </c>
      <c r="D342" s="218">
        <v>0</v>
      </c>
      <c r="E342" s="216">
        <f t="shared" si="4"/>
        <v>0</v>
      </c>
      <c r="F342" s="213" t="s">
        <v>815</v>
      </c>
      <c r="G342" s="213"/>
      <c r="H342" s="213"/>
      <c r="I342" s="213"/>
      <c r="L342" s="208">
        <v>928</v>
      </c>
    </row>
    <row r="343" spans="1:12" ht="15.75">
      <c r="A343" s="212">
        <v>981</v>
      </c>
      <c r="B343" s="213" t="s">
        <v>320</v>
      </c>
      <c r="C343" s="218">
        <v>0</v>
      </c>
      <c r="D343" s="218">
        <v>35250</v>
      </c>
      <c r="E343" s="215">
        <f t="shared" si="4"/>
        <v>-35250</v>
      </c>
      <c r="F343" s="213" t="s">
        <v>222</v>
      </c>
      <c r="G343" s="213" t="s">
        <v>79</v>
      </c>
      <c r="H343" s="213" t="s">
        <v>23</v>
      </c>
      <c r="I343" s="213" t="s">
        <v>103</v>
      </c>
      <c r="L343" s="208">
        <v>941</v>
      </c>
    </row>
    <row r="344" spans="1:12" ht="15.75">
      <c r="A344" s="212">
        <v>982</v>
      </c>
      <c r="B344" s="208" t="s">
        <v>878</v>
      </c>
      <c r="C344" s="218">
        <v>29341</v>
      </c>
      <c r="D344" s="218">
        <v>0</v>
      </c>
      <c r="E344" s="216">
        <f t="shared" si="4"/>
        <v>29341</v>
      </c>
      <c r="F344" s="213" t="s">
        <v>815</v>
      </c>
      <c r="G344" s="213"/>
      <c r="H344" s="213"/>
      <c r="I344" s="213"/>
      <c r="L344" s="208">
        <v>951</v>
      </c>
    </row>
    <row r="345" spans="1:12" ht="15.75">
      <c r="A345" s="212">
        <v>983</v>
      </c>
      <c r="B345" s="213" t="s">
        <v>321</v>
      </c>
      <c r="C345" s="218">
        <v>0</v>
      </c>
      <c r="D345" s="218">
        <v>17853</v>
      </c>
      <c r="E345" s="215">
        <f t="shared" si="4"/>
        <v>-17853</v>
      </c>
      <c r="F345" s="213" t="s">
        <v>222</v>
      </c>
      <c r="G345" s="213" t="s">
        <v>79</v>
      </c>
      <c r="H345" s="213" t="s">
        <v>23</v>
      </c>
      <c r="I345" s="213" t="s">
        <v>103</v>
      </c>
      <c r="L345" s="208">
        <v>952</v>
      </c>
    </row>
    <row r="346" spans="1:12" ht="15.75">
      <c r="A346" s="212">
        <v>986</v>
      </c>
      <c r="B346" s="208" t="s">
        <v>879</v>
      </c>
      <c r="C346" s="218">
        <v>8802</v>
      </c>
      <c r="D346" s="218">
        <v>0</v>
      </c>
      <c r="E346" s="216">
        <f t="shared" si="4"/>
        <v>8802</v>
      </c>
      <c r="F346" s="213" t="s">
        <v>815</v>
      </c>
      <c r="G346" s="213"/>
      <c r="H346" s="213"/>
      <c r="I346" s="213"/>
      <c r="L346" s="208">
        <v>957</v>
      </c>
    </row>
    <row r="347" spans="1:12" ht="15.75">
      <c r="A347" s="212">
        <v>992</v>
      </c>
      <c r="B347" s="213" t="s">
        <v>322</v>
      </c>
      <c r="C347" s="218">
        <v>0</v>
      </c>
      <c r="D347" s="218">
        <v>4878</v>
      </c>
      <c r="E347" s="215">
        <f t="shared" si="4"/>
        <v>-4878</v>
      </c>
      <c r="F347" s="213" t="s">
        <v>222</v>
      </c>
      <c r="G347" s="213" t="s">
        <v>79</v>
      </c>
      <c r="H347" s="213" t="s">
        <v>23</v>
      </c>
      <c r="I347" s="213" t="s">
        <v>103</v>
      </c>
      <c r="L347" s="208">
        <v>961</v>
      </c>
    </row>
    <row r="348" spans="1:12" ht="15.75">
      <c r="A348" s="212">
        <v>993</v>
      </c>
      <c r="B348" s="208" t="s">
        <v>186</v>
      </c>
      <c r="C348" s="218">
        <v>668030</v>
      </c>
      <c r="D348" s="218">
        <v>0</v>
      </c>
      <c r="E348" s="216">
        <f t="shared" si="4"/>
        <v>668030</v>
      </c>
      <c r="F348" s="213" t="s">
        <v>815</v>
      </c>
      <c r="G348" s="213"/>
      <c r="H348" s="213"/>
      <c r="I348" s="213"/>
      <c r="L348" s="208">
        <v>966</v>
      </c>
    </row>
    <row r="349" spans="1:12" ht="15.75">
      <c r="A349" s="212">
        <v>994</v>
      </c>
      <c r="B349" s="213" t="s">
        <v>323</v>
      </c>
      <c r="C349" s="218">
        <v>0</v>
      </c>
      <c r="D349" s="218">
        <v>1020</v>
      </c>
      <c r="E349" s="215">
        <f t="shared" si="4"/>
        <v>-1020</v>
      </c>
      <c r="F349" s="213" t="s">
        <v>222</v>
      </c>
      <c r="G349" s="213" t="s">
        <v>79</v>
      </c>
      <c r="H349" s="213" t="s">
        <v>23</v>
      </c>
      <c r="I349" s="213" t="s">
        <v>103</v>
      </c>
      <c r="L349" s="208">
        <v>967</v>
      </c>
    </row>
    <row r="350" spans="1:12" ht="15.75">
      <c r="A350" s="212">
        <v>998</v>
      </c>
      <c r="B350" s="213" t="s">
        <v>324</v>
      </c>
      <c r="C350" s="218">
        <v>0</v>
      </c>
      <c r="D350" s="218">
        <v>223046</v>
      </c>
      <c r="E350" s="215">
        <f t="shared" si="4"/>
        <v>-223046</v>
      </c>
      <c r="F350" s="213" t="s">
        <v>222</v>
      </c>
      <c r="G350" s="213" t="s">
        <v>79</v>
      </c>
      <c r="H350" s="213" t="s">
        <v>23</v>
      </c>
      <c r="I350" s="213" t="s">
        <v>103</v>
      </c>
      <c r="L350" s="208">
        <v>968</v>
      </c>
    </row>
    <row r="351" spans="1:12" ht="15.75">
      <c r="A351" s="212">
        <v>1536</v>
      </c>
      <c r="B351" s="213" t="s">
        <v>325</v>
      </c>
      <c r="C351" s="218">
        <v>0</v>
      </c>
      <c r="D351" s="218">
        <v>20501</v>
      </c>
      <c r="E351" s="215">
        <f t="shared" si="4"/>
        <v>-20501</v>
      </c>
      <c r="F351" s="213" t="s">
        <v>222</v>
      </c>
      <c r="G351" s="213" t="s">
        <v>79</v>
      </c>
      <c r="H351" s="213" t="s">
        <v>23</v>
      </c>
      <c r="I351" s="213" t="s">
        <v>103</v>
      </c>
      <c r="L351" s="208">
        <v>970</v>
      </c>
    </row>
    <row r="352" spans="1:12" ht="15.75">
      <c r="A352" s="212">
        <v>1608</v>
      </c>
      <c r="B352" s="213" t="s">
        <v>326</v>
      </c>
      <c r="C352" s="218">
        <v>70000000</v>
      </c>
      <c r="D352" s="218">
        <v>0</v>
      </c>
      <c r="E352" s="215">
        <f t="shared" si="4"/>
        <v>70000000</v>
      </c>
      <c r="F352" s="213" t="s">
        <v>222</v>
      </c>
      <c r="G352" s="213" t="s">
        <v>22</v>
      </c>
      <c r="H352" s="213" t="s">
        <v>23</v>
      </c>
      <c r="I352" s="213" t="s">
        <v>24</v>
      </c>
      <c r="L352" s="208">
        <v>972</v>
      </c>
    </row>
    <row r="353" spans="1:12" ht="15.75">
      <c r="A353" s="212">
        <v>1610</v>
      </c>
      <c r="B353" s="213" t="s">
        <v>327</v>
      </c>
      <c r="C353" s="218">
        <v>0</v>
      </c>
      <c r="D353" s="218">
        <v>10573</v>
      </c>
      <c r="E353" s="215">
        <f t="shared" si="4"/>
        <v>-10573</v>
      </c>
      <c r="F353" s="213" t="s">
        <v>222</v>
      </c>
      <c r="G353" s="213" t="s">
        <v>79</v>
      </c>
      <c r="H353" s="213" t="s">
        <v>23</v>
      </c>
      <c r="I353" s="213" t="s">
        <v>103</v>
      </c>
      <c r="L353" s="208">
        <v>975</v>
      </c>
    </row>
    <row r="354" spans="1:12" ht="15.75">
      <c r="A354" s="212">
        <v>1613</v>
      </c>
      <c r="B354" s="213" t="s">
        <v>328</v>
      </c>
      <c r="C354" s="218">
        <v>0</v>
      </c>
      <c r="D354" s="218">
        <v>271718</v>
      </c>
      <c r="E354" s="215">
        <f t="shared" si="4"/>
        <v>-271718</v>
      </c>
      <c r="F354" s="213" t="s">
        <v>222</v>
      </c>
      <c r="G354" s="213" t="s">
        <v>79</v>
      </c>
      <c r="H354" s="213" t="s">
        <v>23</v>
      </c>
      <c r="I354" s="213" t="s">
        <v>103</v>
      </c>
      <c r="L354" s="208">
        <v>980</v>
      </c>
    </row>
    <row r="355" spans="1:12" ht="15.75">
      <c r="A355" s="212">
        <v>1615</v>
      </c>
      <c r="B355" s="213" t="s">
        <v>329</v>
      </c>
      <c r="C355" s="218">
        <v>0</v>
      </c>
      <c r="D355" s="218">
        <v>15122606</v>
      </c>
      <c r="E355" s="215">
        <f t="shared" si="4"/>
        <v>-15122606</v>
      </c>
      <c r="F355" s="213" t="s">
        <v>222</v>
      </c>
      <c r="G355" s="213" t="s">
        <v>62</v>
      </c>
      <c r="H355" s="213" t="s">
        <v>23</v>
      </c>
      <c r="I355" s="213" t="s">
        <v>44</v>
      </c>
      <c r="L355" s="208">
        <v>981</v>
      </c>
    </row>
    <row r="356" spans="1:12" ht="15.75">
      <c r="A356" s="212">
        <v>1617</v>
      </c>
      <c r="B356" s="213" t="s">
        <v>330</v>
      </c>
      <c r="C356" s="218">
        <v>0</v>
      </c>
      <c r="D356" s="218">
        <v>41975</v>
      </c>
      <c r="E356" s="215">
        <f t="shared" si="4"/>
        <v>-41975</v>
      </c>
      <c r="F356" s="213" t="s">
        <v>222</v>
      </c>
      <c r="G356" s="213" t="s">
        <v>79</v>
      </c>
      <c r="H356" s="213" t="s">
        <v>23</v>
      </c>
      <c r="I356" s="213" t="s">
        <v>103</v>
      </c>
      <c r="L356" s="208">
        <v>982</v>
      </c>
    </row>
    <row r="357" spans="1:12" ht="15.75">
      <c r="A357" s="212">
        <v>1619</v>
      </c>
      <c r="B357" s="213" t="s">
        <v>331</v>
      </c>
      <c r="C357" s="218">
        <v>0</v>
      </c>
      <c r="D357" s="218">
        <v>3288256</v>
      </c>
      <c r="E357" s="215">
        <f t="shared" si="4"/>
        <v>-3288256</v>
      </c>
      <c r="F357" s="213" t="s">
        <v>222</v>
      </c>
      <c r="G357" s="213" t="s">
        <v>62</v>
      </c>
      <c r="H357" s="213" t="s">
        <v>23</v>
      </c>
      <c r="I357" s="213" t="s">
        <v>44</v>
      </c>
      <c r="L357" s="208">
        <v>983</v>
      </c>
    </row>
    <row r="358" spans="1:14" ht="15.75">
      <c r="A358" s="212">
        <v>1624</v>
      </c>
      <c r="B358" s="208" t="s">
        <v>880</v>
      </c>
      <c r="C358" s="218">
        <v>3822398</v>
      </c>
      <c r="D358" s="218">
        <v>0</v>
      </c>
      <c r="E358" s="216">
        <f t="shared" si="4"/>
        <v>3822398</v>
      </c>
      <c r="F358" s="213" t="s">
        <v>815</v>
      </c>
      <c r="G358" s="213"/>
      <c r="H358" s="213"/>
      <c r="I358" s="213"/>
      <c r="L358" s="208">
        <v>984</v>
      </c>
      <c r="M358" s="211">
        <f>+L358-A346</f>
        <v>-2</v>
      </c>
      <c r="N358" s="203" t="s">
        <v>831</v>
      </c>
    </row>
    <row r="359" spans="1:12" ht="15.75">
      <c r="A359" s="212">
        <v>1631</v>
      </c>
      <c r="B359" s="213" t="s">
        <v>332</v>
      </c>
      <c r="C359" s="218">
        <v>0</v>
      </c>
      <c r="D359" s="218">
        <v>553516</v>
      </c>
      <c r="E359" s="215">
        <f t="shared" si="4"/>
        <v>-553516</v>
      </c>
      <c r="F359" s="213" t="s">
        <v>222</v>
      </c>
      <c r="G359" s="213" t="s">
        <v>79</v>
      </c>
      <c r="H359" s="213" t="s">
        <v>23</v>
      </c>
      <c r="I359" s="213" t="s">
        <v>103</v>
      </c>
      <c r="L359" s="208">
        <v>986</v>
      </c>
    </row>
    <row r="360" spans="1:12" ht="15.75">
      <c r="A360" s="212">
        <v>1632</v>
      </c>
      <c r="B360" s="213" t="s">
        <v>333</v>
      </c>
      <c r="C360" s="218">
        <v>0</v>
      </c>
      <c r="D360" s="218">
        <v>17689</v>
      </c>
      <c r="E360" s="215">
        <f t="shared" si="4"/>
        <v>-17689</v>
      </c>
      <c r="F360" s="213" t="s">
        <v>222</v>
      </c>
      <c r="G360" s="213" t="s">
        <v>79</v>
      </c>
      <c r="H360" s="213" t="s">
        <v>23</v>
      </c>
      <c r="I360" s="213" t="s">
        <v>103</v>
      </c>
      <c r="L360" s="208">
        <v>992</v>
      </c>
    </row>
    <row r="361" spans="1:12" ht="15.75">
      <c r="A361" s="212">
        <v>1633</v>
      </c>
      <c r="B361" s="213" t="s">
        <v>334</v>
      </c>
      <c r="C361" s="218">
        <v>196574978</v>
      </c>
      <c r="D361" s="218">
        <v>0</v>
      </c>
      <c r="E361" s="215">
        <f t="shared" si="4"/>
        <v>196574978</v>
      </c>
      <c r="F361" s="213" t="s">
        <v>222</v>
      </c>
      <c r="G361" s="213" t="s">
        <v>335</v>
      </c>
      <c r="H361" s="213" t="s">
        <v>23</v>
      </c>
      <c r="I361" s="213" t="s">
        <v>24</v>
      </c>
      <c r="L361" s="208">
        <v>993</v>
      </c>
    </row>
    <row r="362" spans="1:12" ht="15.75">
      <c r="A362" s="212">
        <v>1634</v>
      </c>
      <c r="B362" s="213" t="s">
        <v>336</v>
      </c>
      <c r="C362" s="218">
        <v>0</v>
      </c>
      <c r="D362" s="218">
        <v>13386213</v>
      </c>
      <c r="E362" s="215">
        <f t="shared" si="4"/>
        <v>-13386213</v>
      </c>
      <c r="F362" s="213" t="s">
        <v>222</v>
      </c>
      <c r="G362" s="213" t="s">
        <v>37</v>
      </c>
      <c r="H362" s="213" t="s">
        <v>13</v>
      </c>
      <c r="I362" s="213" t="s">
        <v>33</v>
      </c>
      <c r="L362" s="208">
        <v>994</v>
      </c>
    </row>
    <row r="363" spans="1:12" ht="15.75">
      <c r="A363" s="212">
        <v>1635</v>
      </c>
      <c r="B363" s="213" t="s">
        <v>337</v>
      </c>
      <c r="C363" s="218">
        <v>0</v>
      </c>
      <c r="D363" s="218">
        <v>44208588</v>
      </c>
      <c r="E363" s="215">
        <f t="shared" si="4"/>
        <v>-44208588</v>
      </c>
      <c r="F363" s="213" t="s">
        <v>222</v>
      </c>
      <c r="G363" s="213" t="s">
        <v>62</v>
      </c>
      <c r="H363" s="213" t="s">
        <v>23</v>
      </c>
      <c r="I363" s="213" t="s">
        <v>338</v>
      </c>
      <c r="L363" s="208">
        <v>998</v>
      </c>
    </row>
    <row r="364" spans="1:12" ht="15.75">
      <c r="A364" s="212">
        <v>1636</v>
      </c>
      <c r="B364" s="213" t="s">
        <v>339</v>
      </c>
      <c r="C364" s="218">
        <v>9190811</v>
      </c>
      <c r="D364" s="218">
        <v>0</v>
      </c>
      <c r="E364" s="215">
        <f aca="true" t="shared" si="5" ref="E364:E415">+C364-D364</f>
        <v>9190811</v>
      </c>
      <c r="F364" s="213" t="s">
        <v>222</v>
      </c>
      <c r="G364" s="213" t="s">
        <v>22</v>
      </c>
      <c r="H364" s="213" t="s">
        <v>23</v>
      </c>
      <c r="I364" s="213" t="s">
        <v>340</v>
      </c>
      <c r="L364" s="208">
        <v>1536</v>
      </c>
    </row>
    <row r="365" spans="1:12" ht="15.75">
      <c r="A365" s="212">
        <v>1639</v>
      </c>
      <c r="B365" s="213" t="s">
        <v>341</v>
      </c>
      <c r="C365" s="218">
        <v>3141363</v>
      </c>
      <c r="D365" s="218">
        <v>0</v>
      </c>
      <c r="E365" s="215">
        <f t="shared" si="5"/>
        <v>3141363</v>
      </c>
      <c r="F365" s="213" t="s">
        <v>222</v>
      </c>
      <c r="G365" s="213" t="s">
        <v>22</v>
      </c>
      <c r="H365" s="213" t="s">
        <v>23</v>
      </c>
      <c r="I365" s="213" t="s">
        <v>342</v>
      </c>
      <c r="L365" s="208">
        <v>1615</v>
      </c>
    </row>
    <row r="366" spans="1:12" ht="15.75">
      <c r="A366" s="212">
        <v>1642</v>
      </c>
      <c r="B366" s="213" t="s">
        <v>343</v>
      </c>
      <c r="C366" s="218">
        <v>0</v>
      </c>
      <c r="D366" s="218">
        <f>51003064+37247499-9350000</f>
        <v>78900563</v>
      </c>
      <c r="E366" s="215">
        <f t="shared" si="5"/>
        <v>-78900563</v>
      </c>
      <c r="F366" s="213" t="s">
        <v>222</v>
      </c>
      <c r="G366" s="213" t="s">
        <v>62</v>
      </c>
      <c r="H366" s="213" t="s">
        <v>23</v>
      </c>
      <c r="I366" s="213" t="s">
        <v>338</v>
      </c>
      <c r="L366" s="208">
        <v>1619</v>
      </c>
    </row>
    <row r="367" spans="1:12" ht="15.75">
      <c r="A367" s="212">
        <v>1644</v>
      </c>
      <c r="B367" s="213" t="s">
        <v>344</v>
      </c>
      <c r="C367" s="218">
        <v>0</v>
      </c>
      <c r="D367" s="218">
        <v>70554000</v>
      </c>
      <c r="E367" s="215">
        <f t="shared" si="5"/>
        <v>-70554000</v>
      </c>
      <c r="F367" s="213" t="s">
        <v>222</v>
      </c>
      <c r="G367" s="213" t="s">
        <v>62</v>
      </c>
      <c r="H367" s="213" t="s">
        <v>23</v>
      </c>
      <c r="I367" s="213" t="s">
        <v>338</v>
      </c>
      <c r="L367" s="208">
        <v>1633</v>
      </c>
    </row>
    <row r="368" spans="1:12" ht="15.75">
      <c r="A368" s="212">
        <v>1645</v>
      </c>
      <c r="B368" s="213" t="s">
        <v>345</v>
      </c>
      <c r="C368" s="218">
        <v>0</v>
      </c>
      <c r="D368" s="218">
        <v>146456000</v>
      </c>
      <c r="E368" s="215">
        <f t="shared" si="5"/>
        <v>-146456000</v>
      </c>
      <c r="F368" s="213" t="s">
        <v>222</v>
      </c>
      <c r="G368" s="213" t="s">
        <v>62</v>
      </c>
      <c r="H368" s="213" t="s">
        <v>23</v>
      </c>
      <c r="I368" s="213" t="s">
        <v>338</v>
      </c>
      <c r="L368" s="208">
        <v>1634</v>
      </c>
    </row>
    <row r="369" spans="1:12" ht="15.75">
      <c r="A369" s="212">
        <v>1647</v>
      </c>
      <c r="B369" s="213" t="s">
        <v>346</v>
      </c>
      <c r="C369" s="218">
        <v>27945906</v>
      </c>
      <c r="D369" s="218">
        <v>0</v>
      </c>
      <c r="E369" s="215">
        <f t="shared" si="5"/>
        <v>27945906</v>
      </c>
      <c r="F369" s="213" t="s">
        <v>222</v>
      </c>
      <c r="G369" s="213" t="s">
        <v>62</v>
      </c>
      <c r="H369" s="213" t="s">
        <v>23</v>
      </c>
      <c r="I369" s="213" t="s">
        <v>24</v>
      </c>
      <c r="L369" s="208">
        <v>1635</v>
      </c>
    </row>
    <row r="370" spans="1:12" ht="15.75">
      <c r="A370" s="212">
        <v>1648</v>
      </c>
      <c r="B370" s="213" t="s">
        <v>347</v>
      </c>
      <c r="C370" s="218">
        <v>0</v>
      </c>
      <c r="D370" s="218">
        <v>27945906</v>
      </c>
      <c r="E370" s="215">
        <f t="shared" si="5"/>
        <v>-27945906</v>
      </c>
      <c r="F370" s="213" t="s">
        <v>222</v>
      </c>
      <c r="G370" s="213" t="s">
        <v>37</v>
      </c>
      <c r="H370" s="213" t="s">
        <v>13</v>
      </c>
      <c r="I370" s="213" t="s">
        <v>167</v>
      </c>
      <c r="L370" s="208">
        <v>1636</v>
      </c>
    </row>
    <row r="371" spans="1:14" ht="15.75">
      <c r="A371" s="212">
        <v>1649</v>
      </c>
      <c r="B371" s="213" t="s">
        <v>895</v>
      </c>
      <c r="C371" s="218">
        <v>10226652</v>
      </c>
      <c r="D371" s="218">
        <v>0</v>
      </c>
      <c r="E371" s="215">
        <f t="shared" si="5"/>
        <v>10226652</v>
      </c>
      <c r="F371" s="213" t="s">
        <v>222</v>
      </c>
      <c r="G371" s="213"/>
      <c r="H371" s="213"/>
      <c r="I371" s="213"/>
      <c r="L371" s="208">
        <v>1638</v>
      </c>
      <c r="M371" s="211">
        <f>+L371-A365</f>
        <v>-1</v>
      </c>
      <c r="N371" s="203" t="s">
        <v>831</v>
      </c>
    </row>
    <row r="372" spans="1:12" ht="15.75">
      <c r="A372" s="212">
        <v>1652</v>
      </c>
      <c r="B372" s="213" t="s">
        <v>348</v>
      </c>
      <c r="C372" s="219">
        <v>30284241</v>
      </c>
      <c r="D372" s="219">
        <v>0</v>
      </c>
      <c r="E372" s="214">
        <f t="shared" si="5"/>
        <v>30284241</v>
      </c>
      <c r="F372" s="213" t="s">
        <v>222</v>
      </c>
      <c r="G372" s="213" t="s">
        <v>29</v>
      </c>
      <c r="H372" s="213" t="s">
        <v>23</v>
      </c>
      <c r="I372" s="213" t="s">
        <v>30</v>
      </c>
      <c r="L372" s="208">
        <v>1639</v>
      </c>
    </row>
    <row r="373" spans="1:12" ht="15.75">
      <c r="A373" s="212">
        <v>1653</v>
      </c>
      <c r="B373" s="213" t="s">
        <v>349</v>
      </c>
      <c r="C373" s="219">
        <v>5601492</v>
      </c>
      <c r="D373" s="219">
        <v>0</v>
      </c>
      <c r="E373" s="214">
        <f t="shared" si="5"/>
        <v>5601492</v>
      </c>
      <c r="F373" s="213" t="s">
        <v>222</v>
      </c>
      <c r="G373" s="213" t="s">
        <v>29</v>
      </c>
      <c r="H373" s="213" t="s">
        <v>23</v>
      </c>
      <c r="I373" s="213" t="s">
        <v>30</v>
      </c>
      <c r="L373" s="208">
        <v>1642</v>
      </c>
    </row>
    <row r="374" spans="1:12" ht="15.75">
      <c r="A374" s="212">
        <v>1655</v>
      </c>
      <c r="B374" s="213" t="s">
        <v>350</v>
      </c>
      <c r="C374" s="219">
        <v>112845683</v>
      </c>
      <c r="D374" s="219">
        <v>0</v>
      </c>
      <c r="E374" s="214">
        <f t="shared" si="5"/>
        <v>112845683</v>
      </c>
      <c r="F374" s="213" t="s">
        <v>222</v>
      </c>
      <c r="G374" s="213" t="s">
        <v>29</v>
      </c>
      <c r="H374" s="213" t="s">
        <v>23</v>
      </c>
      <c r="I374" s="213" t="s">
        <v>30</v>
      </c>
      <c r="L374" s="208">
        <v>1644</v>
      </c>
    </row>
    <row r="375" spans="1:12" ht="15.75">
      <c r="A375" s="212">
        <v>1656</v>
      </c>
      <c r="B375" s="213" t="s">
        <v>351</v>
      </c>
      <c r="C375" s="219">
        <v>0</v>
      </c>
      <c r="D375" s="219">
        <v>25066056</v>
      </c>
      <c r="E375" s="220">
        <f t="shared" si="5"/>
        <v>-25066056</v>
      </c>
      <c r="F375" s="213" t="s">
        <v>222</v>
      </c>
      <c r="G375" s="213" t="s">
        <v>29</v>
      </c>
      <c r="H375" s="213" t="s">
        <v>23</v>
      </c>
      <c r="I375" s="213" t="s">
        <v>30</v>
      </c>
      <c r="L375" s="208">
        <v>1645</v>
      </c>
    </row>
    <row r="376" spans="1:12" ht="15.75">
      <c r="A376" s="212">
        <v>1658</v>
      </c>
      <c r="B376" s="213" t="s">
        <v>352</v>
      </c>
      <c r="C376" s="219">
        <v>0</v>
      </c>
      <c r="D376" s="219">
        <v>270727447</v>
      </c>
      <c r="E376" s="220">
        <f t="shared" si="5"/>
        <v>-270727447</v>
      </c>
      <c r="F376" s="213" t="s">
        <v>222</v>
      </c>
      <c r="G376" s="213" t="s">
        <v>29</v>
      </c>
      <c r="H376" s="213" t="s">
        <v>23</v>
      </c>
      <c r="I376" s="213" t="s">
        <v>30</v>
      </c>
      <c r="L376" s="208">
        <v>1647</v>
      </c>
    </row>
    <row r="377" spans="1:12" ht="15.75">
      <c r="A377" s="212">
        <v>1659</v>
      </c>
      <c r="B377" s="213" t="s">
        <v>353</v>
      </c>
      <c r="C377" s="219">
        <v>0</v>
      </c>
      <c r="D377" s="219">
        <v>1145119</v>
      </c>
      <c r="E377" s="220">
        <f t="shared" si="5"/>
        <v>-1145119</v>
      </c>
      <c r="F377" s="213" t="s">
        <v>222</v>
      </c>
      <c r="G377" s="213" t="s">
        <v>29</v>
      </c>
      <c r="H377" s="213" t="s">
        <v>23</v>
      </c>
      <c r="I377" s="213" t="s">
        <v>30</v>
      </c>
      <c r="L377" s="208">
        <v>1648</v>
      </c>
    </row>
    <row r="378" spans="1:12" ht="15.75">
      <c r="A378" s="212">
        <v>1660</v>
      </c>
      <c r="B378" s="213" t="s">
        <v>354</v>
      </c>
      <c r="C378" s="219">
        <v>0</v>
      </c>
      <c r="D378" s="219">
        <v>19032021</v>
      </c>
      <c r="E378" s="220">
        <f t="shared" si="5"/>
        <v>-19032021</v>
      </c>
      <c r="F378" s="213" t="s">
        <v>222</v>
      </c>
      <c r="G378" s="213" t="s">
        <v>29</v>
      </c>
      <c r="H378" s="213" t="s">
        <v>23</v>
      </c>
      <c r="I378" s="213" t="s">
        <v>30</v>
      </c>
      <c r="L378" s="208">
        <v>1649</v>
      </c>
    </row>
    <row r="379" spans="1:14" ht="15.75">
      <c r="A379" s="212">
        <v>1661</v>
      </c>
      <c r="B379" s="213" t="s">
        <v>355</v>
      </c>
      <c r="C379" s="219">
        <v>0</v>
      </c>
      <c r="D379" s="219">
        <v>543334</v>
      </c>
      <c r="E379" s="220">
        <f t="shared" si="5"/>
        <v>-543334</v>
      </c>
      <c r="F379" s="213" t="s">
        <v>222</v>
      </c>
      <c r="G379" s="213" t="s">
        <v>29</v>
      </c>
      <c r="H379" s="213" t="s">
        <v>23</v>
      </c>
      <c r="I379" s="213" t="s">
        <v>30</v>
      </c>
      <c r="L379" s="208">
        <v>1650</v>
      </c>
      <c r="M379" s="211">
        <f>+L379-A372</f>
        <v>-2</v>
      </c>
      <c r="N379" s="203" t="s">
        <v>831</v>
      </c>
    </row>
    <row r="380" spans="1:14" ht="15.75">
      <c r="A380" s="212">
        <v>1662</v>
      </c>
      <c r="B380" s="213" t="s">
        <v>356</v>
      </c>
      <c r="C380" s="219">
        <v>0</v>
      </c>
      <c r="D380" s="219">
        <v>57137128</v>
      </c>
      <c r="E380" s="220">
        <f t="shared" si="5"/>
        <v>-57137128</v>
      </c>
      <c r="F380" s="213" t="s">
        <v>222</v>
      </c>
      <c r="G380" s="213" t="s">
        <v>29</v>
      </c>
      <c r="H380" s="213" t="s">
        <v>23</v>
      </c>
      <c r="I380" s="213" t="s">
        <v>30</v>
      </c>
      <c r="L380" s="208">
        <v>1651</v>
      </c>
      <c r="M380" s="211">
        <f>+L380-A373</f>
        <v>-2</v>
      </c>
      <c r="N380" s="203" t="s">
        <v>831</v>
      </c>
    </row>
    <row r="381" spans="1:12" ht="15.75">
      <c r="A381" s="212">
        <v>1663</v>
      </c>
      <c r="B381" s="213" t="s">
        <v>357</v>
      </c>
      <c r="C381" s="218">
        <v>0</v>
      </c>
      <c r="D381" s="218"/>
      <c r="E381" s="215">
        <f t="shared" si="5"/>
        <v>0</v>
      </c>
      <c r="F381" s="213" t="s">
        <v>222</v>
      </c>
      <c r="G381" s="213" t="s">
        <v>22</v>
      </c>
      <c r="H381" s="213" t="s">
        <v>590</v>
      </c>
      <c r="I381" s="213" t="s">
        <v>592</v>
      </c>
      <c r="L381" s="208">
        <v>1652</v>
      </c>
    </row>
    <row r="382" spans="1:12" ht="15.75">
      <c r="A382" s="212">
        <v>1665</v>
      </c>
      <c r="B382" s="213" t="s">
        <v>358</v>
      </c>
      <c r="C382" s="218">
        <v>0</v>
      </c>
      <c r="D382" s="218"/>
      <c r="E382" s="215">
        <f t="shared" si="5"/>
        <v>0</v>
      </c>
      <c r="F382" s="213" t="s">
        <v>222</v>
      </c>
      <c r="G382" s="213" t="s">
        <v>22</v>
      </c>
      <c r="H382" s="213" t="s">
        <v>23</v>
      </c>
      <c r="I382" s="213" t="s">
        <v>24</v>
      </c>
      <c r="L382" s="208">
        <v>1653</v>
      </c>
    </row>
    <row r="383" spans="1:14" ht="15.75">
      <c r="A383" s="212">
        <v>1667</v>
      </c>
      <c r="B383" s="213" t="s">
        <v>359</v>
      </c>
      <c r="C383" s="218">
        <v>0</v>
      </c>
      <c r="D383" s="218">
        <v>8311584</v>
      </c>
      <c r="E383" s="215">
        <f t="shared" si="5"/>
        <v>-8311584</v>
      </c>
      <c r="F383" s="213" t="s">
        <v>222</v>
      </c>
      <c r="G383" s="213" t="s">
        <v>32</v>
      </c>
      <c r="H383" s="213" t="s">
        <v>590</v>
      </c>
      <c r="I383" s="213" t="s">
        <v>44</v>
      </c>
      <c r="L383" s="208">
        <v>1654</v>
      </c>
      <c r="M383" s="211">
        <f>+L383-A374</f>
        <v>-1</v>
      </c>
      <c r="N383" s="203" t="s">
        <v>831</v>
      </c>
    </row>
    <row r="384" spans="1:13" ht="15.75">
      <c r="A384" s="212">
        <v>1669</v>
      </c>
      <c r="B384" s="213" t="s">
        <v>360</v>
      </c>
      <c r="C384" s="218">
        <v>0</v>
      </c>
      <c r="D384" s="218">
        <v>6561456</v>
      </c>
      <c r="E384" s="215">
        <f t="shared" si="5"/>
        <v>-6561456</v>
      </c>
      <c r="F384" s="213" t="s">
        <v>222</v>
      </c>
      <c r="G384" s="213" t="s">
        <v>32</v>
      </c>
      <c r="H384" s="213" t="s">
        <v>590</v>
      </c>
      <c r="I384" s="213" t="s">
        <v>44</v>
      </c>
      <c r="L384" s="208">
        <v>1655</v>
      </c>
      <c r="M384" s="211"/>
    </row>
    <row r="385" spans="1:13" ht="15.75">
      <c r="A385" s="212">
        <v>1670</v>
      </c>
      <c r="B385" s="213" t="s">
        <v>361</v>
      </c>
      <c r="C385" s="218">
        <v>0</v>
      </c>
      <c r="D385" s="218">
        <v>23707</v>
      </c>
      <c r="E385" s="215">
        <f t="shared" si="5"/>
        <v>-23707</v>
      </c>
      <c r="F385" s="213" t="s">
        <v>222</v>
      </c>
      <c r="G385" s="213" t="s">
        <v>79</v>
      </c>
      <c r="H385" s="213" t="s">
        <v>23</v>
      </c>
      <c r="I385" s="213" t="s">
        <v>103</v>
      </c>
      <c r="L385" s="208">
        <v>1656</v>
      </c>
      <c r="M385" s="211"/>
    </row>
    <row r="386" spans="1:13" ht="15.75">
      <c r="A386" s="212">
        <v>1671</v>
      </c>
      <c r="B386" s="213" t="s">
        <v>362</v>
      </c>
      <c r="C386" s="218">
        <v>520026</v>
      </c>
      <c r="D386" s="218">
        <v>0</v>
      </c>
      <c r="E386" s="215">
        <f t="shared" si="5"/>
        <v>520026</v>
      </c>
      <c r="F386" s="213" t="s">
        <v>222</v>
      </c>
      <c r="G386" s="213" t="s">
        <v>79</v>
      </c>
      <c r="H386" s="213" t="s">
        <v>23</v>
      </c>
      <c r="I386" s="213" t="s">
        <v>103</v>
      </c>
      <c r="L386" s="208">
        <v>1658</v>
      </c>
      <c r="M386" s="211"/>
    </row>
    <row r="387" spans="1:13" ht="15.75">
      <c r="A387" s="212">
        <v>1675</v>
      </c>
      <c r="B387" s="213" t="s">
        <v>363</v>
      </c>
      <c r="C387" s="218">
        <v>0</v>
      </c>
      <c r="D387" s="218">
        <v>10597</v>
      </c>
      <c r="E387" s="215">
        <f t="shared" si="5"/>
        <v>-10597</v>
      </c>
      <c r="F387" s="213" t="s">
        <v>222</v>
      </c>
      <c r="G387" s="213" t="s">
        <v>79</v>
      </c>
      <c r="H387" s="213" t="s">
        <v>23</v>
      </c>
      <c r="I387" s="213" t="s">
        <v>103</v>
      </c>
      <c r="L387" s="208">
        <v>1659</v>
      </c>
      <c r="M387" s="211"/>
    </row>
    <row r="388" spans="1:13" ht="15.75">
      <c r="A388" s="212">
        <v>1685</v>
      </c>
      <c r="B388" s="213" t="s">
        <v>364</v>
      </c>
      <c r="C388" s="218">
        <v>0</v>
      </c>
      <c r="D388" s="218">
        <v>1588000</v>
      </c>
      <c r="E388" s="215">
        <f t="shared" si="5"/>
        <v>-1588000</v>
      </c>
      <c r="F388" s="213" t="s">
        <v>222</v>
      </c>
      <c r="G388" s="213" t="s">
        <v>106</v>
      </c>
      <c r="H388" s="213" t="s">
        <v>13</v>
      </c>
      <c r="I388" s="213" t="s">
        <v>107</v>
      </c>
      <c r="L388" s="208">
        <v>1660</v>
      </c>
      <c r="M388" s="211"/>
    </row>
    <row r="389" spans="1:13" ht="15.75">
      <c r="A389" s="212">
        <v>1687</v>
      </c>
      <c r="B389" s="213" t="s">
        <v>190</v>
      </c>
      <c r="C389" s="218">
        <v>0</v>
      </c>
      <c r="D389" s="218">
        <v>199653</v>
      </c>
      <c r="E389" s="215">
        <f t="shared" si="5"/>
        <v>-199653</v>
      </c>
      <c r="F389" s="213" t="s">
        <v>222</v>
      </c>
      <c r="G389" s="213" t="s">
        <v>365</v>
      </c>
      <c r="H389" s="213" t="s">
        <v>23</v>
      </c>
      <c r="I389" s="213" t="s">
        <v>44</v>
      </c>
      <c r="L389" s="208">
        <v>1661</v>
      </c>
      <c r="M389" s="211"/>
    </row>
    <row r="390" spans="1:13" ht="15.75">
      <c r="A390" s="207">
        <v>1721</v>
      </c>
      <c r="B390" s="208" t="s">
        <v>881</v>
      </c>
      <c r="C390" s="218">
        <v>289959834.08</v>
      </c>
      <c r="D390" s="218">
        <v>0</v>
      </c>
      <c r="E390" s="214">
        <f t="shared" si="5"/>
        <v>289959834.08</v>
      </c>
      <c r="F390" s="213" t="s">
        <v>815</v>
      </c>
      <c r="G390" s="213"/>
      <c r="H390" s="213"/>
      <c r="I390" s="213"/>
      <c r="L390" s="208">
        <v>1662</v>
      </c>
      <c r="M390" s="211"/>
    </row>
    <row r="391" spans="1:13" ht="15.75">
      <c r="A391" s="207">
        <v>1722</v>
      </c>
      <c r="B391" s="208" t="s">
        <v>882</v>
      </c>
      <c r="C391" s="218">
        <v>276876922</v>
      </c>
      <c r="D391" s="218">
        <v>0</v>
      </c>
      <c r="E391" s="214">
        <f t="shared" si="5"/>
        <v>276876922</v>
      </c>
      <c r="F391" s="213" t="s">
        <v>815</v>
      </c>
      <c r="G391" s="213"/>
      <c r="H391" s="213"/>
      <c r="I391" s="213"/>
      <c r="L391" s="208">
        <v>1663</v>
      </c>
      <c r="M391" s="211"/>
    </row>
    <row r="392" spans="1:13" ht="15.75">
      <c r="A392" s="207">
        <v>1723</v>
      </c>
      <c r="B392" s="208" t="s">
        <v>883</v>
      </c>
      <c r="C392" s="218">
        <v>26747643</v>
      </c>
      <c r="D392" s="218">
        <v>0</v>
      </c>
      <c r="E392" s="214">
        <f t="shared" si="5"/>
        <v>26747643</v>
      </c>
      <c r="F392" s="213" t="s">
        <v>815</v>
      </c>
      <c r="G392" s="213"/>
      <c r="H392" s="213"/>
      <c r="I392" s="213"/>
      <c r="L392" s="208">
        <v>1665</v>
      </c>
      <c r="M392" s="211"/>
    </row>
    <row r="393" spans="1:14" ht="15.75">
      <c r="A393" s="207">
        <v>1724</v>
      </c>
      <c r="B393" s="208" t="s">
        <v>884</v>
      </c>
      <c r="C393" s="218">
        <v>16848093</v>
      </c>
      <c r="D393" s="218">
        <v>0</v>
      </c>
      <c r="E393" s="214">
        <f t="shared" si="5"/>
        <v>16848093</v>
      </c>
      <c r="F393" s="213" t="s">
        <v>815</v>
      </c>
      <c r="G393" s="213"/>
      <c r="H393" s="213"/>
      <c r="I393" s="213"/>
      <c r="L393" s="208">
        <v>1666</v>
      </c>
      <c r="M393" s="211">
        <f>+L393-A383</f>
        <v>-1</v>
      </c>
      <c r="N393" s="203" t="s">
        <v>831</v>
      </c>
    </row>
    <row r="394" spans="1:13" ht="15.75">
      <c r="A394" s="207">
        <v>1725</v>
      </c>
      <c r="B394" s="208" t="s">
        <v>885</v>
      </c>
      <c r="C394" s="218">
        <v>2725168</v>
      </c>
      <c r="D394" s="218">
        <v>0</v>
      </c>
      <c r="E394" s="214">
        <f t="shared" si="5"/>
        <v>2725168</v>
      </c>
      <c r="F394" s="213" t="s">
        <v>815</v>
      </c>
      <c r="G394" s="213"/>
      <c r="H394" s="213"/>
      <c r="I394" s="213"/>
      <c r="L394" s="208">
        <v>1667</v>
      </c>
      <c r="M394" s="211"/>
    </row>
    <row r="395" spans="1:14" ht="15.75">
      <c r="A395" s="212">
        <v>1726</v>
      </c>
      <c r="B395" s="213" t="s">
        <v>366</v>
      </c>
      <c r="C395" s="218">
        <v>1</v>
      </c>
      <c r="D395" s="218">
        <v>0</v>
      </c>
      <c r="E395" s="214">
        <f t="shared" si="5"/>
        <v>1</v>
      </c>
      <c r="F395" s="213" t="s">
        <v>222</v>
      </c>
      <c r="G395" s="213" t="s">
        <v>29</v>
      </c>
      <c r="H395" s="213" t="s">
        <v>23</v>
      </c>
      <c r="I395" s="213" t="s">
        <v>30</v>
      </c>
      <c r="L395" s="208">
        <v>1668</v>
      </c>
      <c r="M395" s="211">
        <f>+L395-A384</f>
        <v>-1</v>
      </c>
      <c r="N395" s="203" t="s">
        <v>831</v>
      </c>
    </row>
    <row r="396" spans="1:12" ht="15.75">
      <c r="A396" s="212">
        <v>1727</v>
      </c>
      <c r="B396" s="213" t="s">
        <v>367</v>
      </c>
      <c r="C396" s="218">
        <v>0</v>
      </c>
      <c r="D396" s="218">
        <v>1</v>
      </c>
      <c r="E396" s="215">
        <f t="shared" si="5"/>
        <v>-1</v>
      </c>
      <c r="F396" s="213" t="s">
        <v>222</v>
      </c>
      <c r="G396" s="213" t="s">
        <v>79</v>
      </c>
      <c r="H396" s="213" t="s">
        <v>23</v>
      </c>
      <c r="I396" s="213" t="s">
        <v>80</v>
      </c>
      <c r="L396" s="208">
        <v>1669</v>
      </c>
    </row>
    <row r="397" spans="1:9" ht="15.75">
      <c r="A397" s="212">
        <v>1728</v>
      </c>
      <c r="B397" s="213" t="s">
        <v>368</v>
      </c>
      <c r="C397" s="218">
        <v>18343232</v>
      </c>
      <c r="D397" s="218">
        <v>0</v>
      </c>
      <c r="E397" s="215">
        <f t="shared" si="5"/>
        <v>18343232</v>
      </c>
      <c r="F397" s="213" t="s">
        <v>222</v>
      </c>
      <c r="G397" s="213" t="s">
        <v>37</v>
      </c>
      <c r="H397" s="213" t="s">
        <v>13</v>
      </c>
      <c r="I397" s="213" t="s">
        <v>33</v>
      </c>
    </row>
    <row r="398" spans="1:9" ht="15.75">
      <c r="A398" s="207">
        <v>1729</v>
      </c>
      <c r="B398" s="208" t="s">
        <v>343</v>
      </c>
      <c r="C398" s="218">
        <v>0</v>
      </c>
      <c r="D398" s="218">
        <v>4862190</v>
      </c>
      <c r="E398" s="216">
        <f t="shared" si="5"/>
        <v>-4862190</v>
      </c>
      <c r="F398" s="213" t="s">
        <v>815</v>
      </c>
      <c r="G398" s="213"/>
      <c r="H398" s="213"/>
      <c r="I398" s="213"/>
    </row>
    <row r="399" spans="1:9" ht="15.75">
      <c r="A399" s="207">
        <v>1730</v>
      </c>
      <c r="B399" s="208" t="s">
        <v>886</v>
      </c>
      <c r="C399" s="218">
        <v>0</v>
      </c>
      <c r="D399" s="218">
        <v>12332000</v>
      </c>
      <c r="E399" s="216">
        <f t="shared" si="5"/>
        <v>-12332000</v>
      </c>
      <c r="F399" s="213" t="s">
        <v>815</v>
      </c>
      <c r="G399" s="213"/>
      <c r="H399" s="213"/>
      <c r="I399" s="213"/>
    </row>
    <row r="400" spans="1:9" ht="15.75">
      <c r="A400" s="207">
        <v>1731</v>
      </c>
      <c r="B400" s="208" t="s">
        <v>887</v>
      </c>
      <c r="C400" s="218">
        <v>0</v>
      </c>
      <c r="D400" s="218">
        <v>17321000</v>
      </c>
      <c r="E400" s="216">
        <f t="shared" si="5"/>
        <v>-17321000</v>
      </c>
      <c r="F400" s="213" t="s">
        <v>815</v>
      </c>
      <c r="G400" s="213"/>
      <c r="H400" s="213"/>
      <c r="I400" s="213"/>
    </row>
    <row r="401" spans="1:9" ht="15.75">
      <c r="A401" s="207">
        <v>1732</v>
      </c>
      <c r="B401" s="208" t="s">
        <v>337</v>
      </c>
      <c r="C401" s="218">
        <v>0</v>
      </c>
      <c r="D401" s="218">
        <v>6779915</v>
      </c>
      <c r="E401" s="216">
        <f t="shared" si="5"/>
        <v>-6779915</v>
      </c>
      <c r="F401" s="213" t="s">
        <v>815</v>
      </c>
      <c r="G401" s="213"/>
      <c r="H401" s="213"/>
      <c r="I401" s="213"/>
    </row>
    <row r="402" spans="1:9" ht="15.75">
      <c r="A402" s="207">
        <v>1733</v>
      </c>
      <c r="B402" s="208" t="s">
        <v>888</v>
      </c>
      <c r="C402" s="218">
        <v>1581609</v>
      </c>
      <c r="D402" s="218">
        <v>0</v>
      </c>
      <c r="E402" s="216">
        <f t="shared" si="5"/>
        <v>1581609</v>
      </c>
      <c r="F402" s="213" t="s">
        <v>815</v>
      </c>
      <c r="G402" s="213"/>
      <c r="H402" s="213"/>
      <c r="I402" s="213"/>
    </row>
    <row r="403" spans="1:9" ht="15.75">
      <c r="A403" s="207">
        <v>1735</v>
      </c>
      <c r="B403" s="208" t="s">
        <v>889</v>
      </c>
      <c r="C403" s="218">
        <v>0</v>
      </c>
      <c r="D403" s="218">
        <v>0</v>
      </c>
      <c r="E403" s="214">
        <f t="shared" si="5"/>
        <v>0</v>
      </c>
      <c r="F403" s="213" t="s">
        <v>815</v>
      </c>
      <c r="G403" s="213"/>
      <c r="H403" s="213"/>
      <c r="I403" s="213"/>
    </row>
    <row r="404" spans="1:9" ht="15.75">
      <c r="A404" s="207">
        <v>1736</v>
      </c>
      <c r="B404" s="208" t="s">
        <v>890</v>
      </c>
      <c r="C404" s="218">
        <v>0</v>
      </c>
      <c r="D404" s="218">
        <v>0</v>
      </c>
      <c r="E404" s="214">
        <f t="shared" si="5"/>
        <v>0</v>
      </c>
      <c r="F404" s="213" t="s">
        <v>815</v>
      </c>
      <c r="G404" s="213"/>
      <c r="H404" s="213"/>
      <c r="I404" s="213"/>
    </row>
    <row r="405" spans="1:9" ht="15.75">
      <c r="A405" s="212">
        <v>1737</v>
      </c>
      <c r="B405" s="213" t="s">
        <v>758</v>
      </c>
      <c r="C405" s="218">
        <v>0</v>
      </c>
      <c r="D405" s="218">
        <v>411439</v>
      </c>
      <c r="E405" s="215">
        <f t="shared" si="5"/>
        <v>-411439</v>
      </c>
      <c r="F405" s="213" t="s">
        <v>222</v>
      </c>
      <c r="G405" s="213"/>
      <c r="H405" s="213"/>
      <c r="I405" s="213"/>
    </row>
    <row r="406" spans="1:9" ht="15.75">
      <c r="A406" s="212">
        <v>1738</v>
      </c>
      <c r="B406" s="213" t="s">
        <v>759</v>
      </c>
      <c r="C406" s="218">
        <v>11904706</v>
      </c>
      <c r="D406" s="218">
        <v>0</v>
      </c>
      <c r="E406" s="215">
        <f t="shared" si="5"/>
        <v>11904706</v>
      </c>
      <c r="F406" s="213" t="s">
        <v>222</v>
      </c>
      <c r="G406" s="213"/>
      <c r="H406" s="213"/>
      <c r="I406" s="213"/>
    </row>
    <row r="407" spans="1:9" ht="15.75">
      <c r="A407" s="212">
        <v>1739</v>
      </c>
      <c r="B407" s="213" t="s">
        <v>760</v>
      </c>
      <c r="C407" s="218">
        <v>1225318.45</v>
      </c>
      <c r="D407" s="218">
        <v>0</v>
      </c>
      <c r="E407" s="215">
        <f t="shared" si="5"/>
        <v>1225318.45</v>
      </c>
      <c r="F407" s="213" t="s">
        <v>222</v>
      </c>
      <c r="G407" s="213"/>
      <c r="H407" s="213"/>
      <c r="I407" s="213"/>
    </row>
    <row r="408" spans="1:9" ht="15.75">
      <c r="A408" s="212">
        <v>1740</v>
      </c>
      <c r="B408" s="213" t="s">
        <v>162</v>
      </c>
      <c r="C408" s="218">
        <v>0</v>
      </c>
      <c r="D408" s="218">
        <v>86192159</v>
      </c>
      <c r="E408" s="215">
        <f t="shared" si="5"/>
        <v>-86192159</v>
      </c>
      <c r="F408" s="213" t="s">
        <v>222</v>
      </c>
      <c r="G408" s="213"/>
      <c r="H408" s="213"/>
      <c r="I408" s="213"/>
    </row>
    <row r="409" spans="1:9" ht="15.75">
      <c r="A409" s="212">
        <v>1742</v>
      </c>
      <c r="B409" s="213" t="s">
        <v>891</v>
      </c>
      <c r="C409" s="218">
        <v>9167507</v>
      </c>
      <c r="D409" s="218">
        <v>0</v>
      </c>
      <c r="E409" s="215">
        <f t="shared" si="5"/>
        <v>9167507</v>
      </c>
      <c r="F409" s="213" t="s">
        <v>222</v>
      </c>
      <c r="G409" s="213"/>
      <c r="H409" s="213"/>
      <c r="I409" s="213"/>
    </row>
    <row r="410" spans="1:9" ht="15.75">
      <c r="A410" s="212">
        <v>1743</v>
      </c>
      <c r="B410" s="213" t="s">
        <v>892</v>
      </c>
      <c r="C410" s="218">
        <v>0</v>
      </c>
      <c r="D410" s="218">
        <v>1026648</v>
      </c>
      <c r="E410" s="215">
        <f t="shared" si="5"/>
        <v>-1026648</v>
      </c>
      <c r="F410" s="213" t="s">
        <v>222</v>
      </c>
      <c r="G410" s="213"/>
      <c r="H410" s="213"/>
      <c r="I410" s="213"/>
    </row>
    <row r="411" spans="1:9" ht="15.75">
      <c r="A411" s="212">
        <v>1744</v>
      </c>
      <c r="B411" s="213" t="s">
        <v>970</v>
      </c>
      <c r="C411" s="218">
        <v>19563058</v>
      </c>
      <c r="D411" s="218">
        <v>0</v>
      </c>
      <c r="E411" s="215">
        <f t="shared" si="5"/>
        <v>19563058</v>
      </c>
      <c r="F411" s="213" t="s">
        <v>815</v>
      </c>
      <c r="G411" s="213"/>
      <c r="H411" s="213"/>
      <c r="I411" s="213"/>
    </row>
    <row r="412" spans="1:9" ht="14.25" customHeight="1">
      <c r="A412" s="212">
        <v>1745</v>
      </c>
      <c r="B412" s="213" t="s">
        <v>971</v>
      </c>
      <c r="C412" s="218">
        <v>2853655</v>
      </c>
      <c r="D412" s="218">
        <v>0</v>
      </c>
      <c r="E412" s="215">
        <f t="shared" si="5"/>
        <v>2853655</v>
      </c>
      <c r="F412" s="213" t="s">
        <v>815</v>
      </c>
      <c r="G412" s="213"/>
      <c r="H412" s="213"/>
      <c r="I412" s="213"/>
    </row>
    <row r="413" spans="1:9" ht="15.75">
      <c r="A413" s="213"/>
      <c r="B413" s="213" t="s">
        <v>369</v>
      </c>
      <c r="C413" s="218">
        <v>2894166</v>
      </c>
      <c r="D413" s="218"/>
      <c r="E413" s="215">
        <f t="shared" si="5"/>
        <v>2894166</v>
      </c>
      <c r="F413" s="213" t="s">
        <v>222</v>
      </c>
      <c r="G413" s="213" t="s">
        <v>22</v>
      </c>
      <c r="H413" s="213" t="s">
        <v>23</v>
      </c>
      <c r="I413" s="213" t="s">
        <v>24</v>
      </c>
    </row>
    <row r="414" spans="1:9" ht="15.75">
      <c r="A414" s="213"/>
      <c r="B414" s="213" t="s">
        <v>370</v>
      </c>
      <c r="C414" s="218"/>
      <c r="D414" s="218">
        <v>24545517.15</v>
      </c>
      <c r="E414" s="215">
        <f t="shared" si="5"/>
        <v>-24545517.15</v>
      </c>
      <c r="F414" s="213" t="s">
        <v>222</v>
      </c>
      <c r="G414" s="213" t="s">
        <v>22</v>
      </c>
      <c r="H414" s="213" t="s">
        <v>23</v>
      </c>
      <c r="I414" s="213" t="s">
        <v>372</v>
      </c>
    </row>
    <row r="415" spans="1:9" ht="15.75">
      <c r="A415" s="212">
        <v>1643</v>
      </c>
      <c r="B415" s="213" t="s">
        <v>813</v>
      </c>
      <c r="C415" s="218">
        <v>80884972</v>
      </c>
      <c r="D415" s="218"/>
      <c r="E415" s="215">
        <f t="shared" si="5"/>
        <v>80884972</v>
      </c>
      <c r="F415" s="213" t="s">
        <v>222</v>
      </c>
      <c r="G415" s="213"/>
      <c r="H415" s="213"/>
      <c r="I415" s="213"/>
    </row>
    <row r="416" spans="1:9" ht="14.25" customHeight="1">
      <c r="A416" s="213"/>
      <c r="B416" s="213"/>
      <c r="C416" s="218"/>
      <c r="D416" s="218"/>
      <c r="E416" s="213"/>
      <c r="F416" s="213"/>
      <c r="G416" s="213"/>
      <c r="H416" s="213"/>
      <c r="I416" s="213"/>
    </row>
    <row r="417" spans="1:9" ht="15.75">
      <c r="A417" s="213"/>
      <c r="B417" s="213"/>
      <c r="C417" s="222">
        <f>SUM(C4:C416)</f>
        <v>4303008732.17</v>
      </c>
      <c r="D417" s="222">
        <f>SUM(D4:D416)</f>
        <v>4303008732.17</v>
      </c>
      <c r="E417" s="223">
        <f>SUM(E5:E416)</f>
        <v>0</v>
      </c>
      <c r="F417" s="213"/>
      <c r="G417" s="213"/>
      <c r="H417" s="213"/>
      <c r="I417" s="213"/>
    </row>
    <row r="419" spans="4:9" ht="15.75">
      <c r="D419" s="224">
        <f>+D417-C417</f>
        <v>0</v>
      </c>
      <c r="E419" s="224"/>
      <c r="I419" s="225"/>
    </row>
  </sheetData>
  <mergeCells count="1">
    <mergeCell ref="A1:I2"/>
  </mergeCells>
  <printOptions/>
  <pageMargins left="0.75" right="0.75" top="1" bottom="1" header="0.5" footer="0.5"/>
  <pageSetup horizontalDpi="180" verticalDpi="18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25"/>
  <sheetViews>
    <sheetView view="pageBreakPreview" zoomScale="60" workbookViewId="0" topLeftCell="A1">
      <selection activeCell="A6" sqref="A6"/>
    </sheetView>
  </sheetViews>
  <sheetFormatPr defaultColWidth="9.140625" defaultRowHeight="12.75"/>
  <cols>
    <col min="1" max="1" width="29.28125" style="5" bestFit="1" customWidth="1"/>
    <col min="2" max="2" width="16.8515625" style="5" bestFit="1" customWidth="1"/>
    <col min="3" max="3" width="16.28125" style="5" bestFit="1" customWidth="1"/>
    <col min="4" max="4" width="9.140625" style="5" customWidth="1"/>
    <col min="5" max="5" width="2.140625" style="5" bestFit="1" customWidth="1"/>
    <col min="6" max="16384" width="9.140625" style="5" customWidth="1"/>
  </cols>
  <sheetData>
    <row r="1" spans="1:3" ht="15.75">
      <c r="A1" s="359" t="s">
        <v>648</v>
      </c>
      <c r="B1" s="359"/>
      <c r="C1" s="48"/>
    </row>
    <row r="3" ht="16.5" thickBot="1">
      <c r="C3" s="316" t="s">
        <v>122</v>
      </c>
    </row>
    <row r="4" spans="1:5" ht="15.75">
      <c r="A4" s="3" t="s">
        <v>10</v>
      </c>
      <c r="B4" s="36" t="s">
        <v>783</v>
      </c>
      <c r="C4" s="37" t="s">
        <v>893</v>
      </c>
      <c r="E4" s="19"/>
    </row>
    <row r="5" spans="1:3" ht="15.75">
      <c r="A5" s="8"/>
      <c r="B5" s="9"/>
      <c r="C5" s="49"/>
    </row>
    <row r="6" spans="1:3" ht="15.75">
      <c r="A6" s="8" t="s">
        <v>649</v>
      </c>
      <c r="B6" s="100">
        <f>+C10</f>
        <v>23728714</v>
      </c>
      <c r="C6" s="102">
        <v>17056136</v>
      </c>
    </row>
    <row r="7" spans="1:3" ht="15.75">
      <c r="A7" s="8" t="s">
        <v>650</v>
      </c>
      <c r="B7" s="100">
        <f>+'BS GROUP'!C89</f>
        <v>10226652</v>
      </c>
      <c r="C7" s="102">
        <v>7817456</v>
      </c>
    </row>
    <row r="8" spans="1:3" ht="15.75">
      <c r="A8" s="8"/>
      <c r="B8" s="252">
        <f>SUM(B7,B6)</f>
        <v>33955366</v>
      </c>
      <c r="C8" s="283">
        <f>SUM(C6:C7)</f>
        <v>24873592</v>
      </c>
    </row>
    <row r="9" spans="1:3" ht="15.75">
      <c r="A9" s="8" t="s">
        <v>651</v>
      </c>
      <c r="B9" s="252">
        <f>-'BS GROUP'!C91</f>
        <v>3531783.4800000004</v>
      </c>
      <c r="C9" s="283">
        <v>1144878</v>
      </c>
    </row>
    <row r="10" spans="1:3" ht="16.5" thickBot="1">
      <c r="A10" s="52" t="s">
        <v>947</v>
      </c>
      <c r="B10" s="240">
        <f>B8-B9</f>
        <v>30423582.52</v>
      </c>
      <c r="C10" s="242">
        <f>C8-C9</f>
        <v>23728714</v>
      </c>
    </row>
    <row r="11" ht="15.75">
      <c r="E11" s="111"/>
    </row>
    <row r="12" ht="15.75">
      <c r="E12" s="111"/>
    </row>
    <row r="13" ht="15.75">
      <c r="E13" s="111"/>
    </row>
    <row r="14" ht="15.75">
      <c r="E14" s="111"/>
    </row>
    <row r="15" ht="15.75">
      <c r="E15" s="111"/>
    </row>
    <row r="16" ht="15.75">
      <c r="E16" s="111"/>
    </row>
    <row r="17" ht="15.75">
      <c r="E17" s="111"/>
    </row>
    <row r="18" ht="15.75">
      <c r="E18" s="111"/>
    </row>
    <row r="19" ht="15.75">
      <c r="E19" s="111"/>
    </row>
    <row r="20" ht="15.75">
      <c r="E20" s="111"/>
    </row>
    <row r="21" ht="15.75">
      <c r="E21" s="111"/>
    </row>
    <row r="22" ht="15.75">
      <c r="E22" s="111"/>
    </row>
    <row r="23" ht="15.75">
      <c r="E23" s="111"/>
    </row>
    <row r="24" ht="15.75">
      <c r="E24" s="111"/>
    </row>
    <row r="25" ht="15.75">
      <c r="E25" s="111"/>
    </row>
    <row r="37" ht="15.75" hidden="1"/>
  </sheetData>
  <mergeCells count="1">
    <mergeCell ref="A1:B1"/>
  </mergeCells>
  <printOptions horizontalCentered="1"/>
  <pageMargins left="0.75" right="0.75" top="1" bottom="1" header="0.5" footer="0.5"/>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2:E26"/>
  <sheetViews>
    <sheetView view="pageBreakPreview" zoomScale="60" workbookViewId="0" topLeftCell="A1">
      <selection activeCell="A6" sqref="A6"/>
    </sheetView>
  </sheetViews>
  <sheetFormatPr defaultColWidth="9.140625" defaultRowHeight="12.75"/>
  <cols>
    <col min="1" max="1" width="64.8515625" style="63" bestFit="1" customWidth="1"/>
    <col min="2" max="2" width="15.421875" style="63" bestFit="1" customWidth="1"/>
    <col min="3" max="3" width="14.8515625" style="63" bestFit="1" customWidth="1"/>
    <col min="4" max="4" width="9.140625" style="63" customWidth="1"/>
    <col min="5" max="5" width="2.140625" style="63" bestFit="1" customWidth="1"/>
    <col min="6" max="16384" width="9.140625" style="63" customWidth="1"/>
  </cols>
  <sheetData>
    <row r="2" spans="1:3" ht="15.75">
      <c r="A2" s="359" t="s">
        <v>963</v>
      </c>
      <c r="B2" s="359"/>
      <c r="C2" s="359"/>
    </row>
    <row r="3" spans="1:3" ht="15.75">
      <c r="A3" s="315"/>
      <c r="B3" s="315"/>
      <c r="C3" s="315"/>
    </row>
    <row r="4" spans="1:3" ht="16.5" thickBot="1">
      <c r="A4" s="5"/>
      <c r="B4" s="5"/>
      <c r="C4" s="316" t="s">
        <v>122</v>
      </c>
    </row>
    <row r="5" spans="1:3" s="249" customFormat="1" ht="31.5">
      <c r="A5" s="282" t="s">
        <v>10</v>
      </c>
      <c r="B5" s="254" t="s">
        <v>783</v>
      </c>
      <c r="C5" s="280" t="s">
        <v>893</v>
      </c>
    </row>
    <row r="6" spans="1:3" ht="15.75">
      <c r="A6" s="30"/>
      <c r="B6" s="141"/>
      <c r="C6" s="44" t="s">
        <v>402</v>
      </c>
    </row>
    <row r="7" spans="1:3" ht="15.75">
      <c r="A7" s="8" t="s">
        <v>964</v>
      </c>
      <c r="B7" s="11">
        <f>+'BS GROUP'!F95</f>
        <v>4084348</v>
      </c>
      <c r="C7" s="1">
        <f>4410094-110926</f>
        <v>4299168</v>
      </c>
    </row>
    <row r="8" spans="1:3" ht="15.75">
      <c r="A8" s="142" t="s">
        <v>966</v>
      </c>
      <c r="B8" s="104"/>
      <c r="C8" s="1"/>
    </row>
    <row r="9" spans="1:3" ht="15.75">
      <c r="A9" s="30"/>
      <c r="B9" s="31"/>
      <c r="C9" s="1"/>
    </row>
    <row r="10" spans="1:3" ht="16.5" thickBot="1">
      <c r="A10" s="45" t="s">
        <v>965</v>
      </c>
      <c r="B10" s="46">
        <f>SUM(B7:B7)</f>
        <v>4084348</v>
      </c>
      <c r="C10" s="47">
        <f>SUM(C7:C9)</f>
        <v>4299168</v>
      </c>
    </row>
    <row r="11" spans="1:3" ht="15.75">
      <c r="A11" s="5"/>
      <c r="B11" s="76"/>
      <c r="C11" s="76"/>
    </row>
    <row r="12" spans="1:5" ht="15.75">
      <c r="A12" s="5"/>
      <c r="B12" s="76"/>
      <c r="C12" s="76"/>
      <c r="E12" s="287"/>
    </row>
    <row r="13" ht="15.75">
      <c r="E13" s="287"/>
    </row>
    <row r="14" ht="15.75">
      <c r="E14" s="287"/>
    </row>
    <row r="15" ht="15.75">
      <c r="E15" s="287"/>
    </row>
    <row r="16" ht="15.75">
      <c r="E16" s="287"/>
    </row>
    <row r="17" ht="15.75">
      <c r="E17" s="287"/>
    </row>
    <row r="18" ht="15.75">
      <c r="E18" s="287"/>
    </row>
    <row r="19" ht="15.75">
      <c r="E19" s="287"/>
    </row>
    <row r="20" ht="15.75">
      <c r="E20" s="287"/>
    </row>
    <row r="21" ht="15.75">
      <c r="E21" s="287"/>
    </row>
    <row r="22" ht="15.75">
      <c r="E22" s="287"/>
    </row>
    <row r="23" ht="15.75">
      <c r="E23" s="287"/>
    </row>
    <row r="24" ht="15.75">
      <c r="E24" s="287"/>
    </row>
    <row r="25" ht="15.75">
      <c r="E25" s="287"/>
    </row>
    <row r="26" ht="15.75">
      <c r="E26" s="287"/>
    </row>
    <row r="38" ht="15.75" hidden="1"/>
  </sheetData>
  <mergeCells count="1">
    <mergeCell ref="A2:C2"/>
  </mergeCells>
  <printOptions horizontalCentered="1"/>
  <pageMargins left="0.75" right="0.75" top="1" bottom="1" header="0.5" footer="0.5"/>
  <pageSetup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2:E26"/>
  <sheetViews>
    <sheetView view="pageBreakPreview" zoomScale="60" workbookViewId="0" topLeftCell="A1">
      <selection activeCell="A6" sqref="A6"/>
    </sheetView>
  </sheetViews>
  <sheetFormatPr defaultColWidth="9.140625" defaultRowHeight="12.75"/>
  <cols>
    <col min="1" max="1" width="45.421875" style="63" bestFit="1" customWidth="1"/>
    <col min="2" max="2" width="15.421875" style="63" bestFit="1" customWidth="1"/>
    <col min="3" max="3" width="14.421875" style="63" bestFit="1" customWidth="1"/>
    <col min="4" max="4" width="9.140625" style="63" customWidth="1"/>
    <col min="5" max="5" width="2.140625" style="63" bestFit="1" customWidth="1"/>
    <col min="6" max="16384" width="9.140625" style="63" customWidth="1"/>
  </cols>
  <sheetData>
    <row r="2" spans="1:3" ht="15.75">
      <c r="A2" s="372" t="s">
        <v>654</v>
      </c>
      <c r="B2" s="372"/>
      <c r="C2" s="372"/>
    </row>
    <row r="3" spans="1:3" ht="15.75">
      <c r="A3" s="314"/>
      <c r="B3" s="314"/>
      <c r="C3" s="314"/>
    </row>
    <row r="4" ht="16.5" thickBot="1">
      <c r="C4" s="109" t="s">
        <v>122</v>
      </c>
    </row>
    <row r="5" spans="1:3" s="249" customFormat="1" ht="31.5">
      <c r="A5" s="253" t="s">
        <v>10</v>
      </c>
      <c r="B5" s="254" t="s">
        <v>783</v>
      </c>
      <c r="C5" s="255" t="s">
        <v>893</v>
      </c>
    </row>
    <row r="6" spans="1:3" ht="15.75">
      <c r="A6" s="18"/>
      <c r="B6" s="106"/>
      <c r="C6" s="20"/>
    </row>
    <row r="7" spans="1:3" ht="15.75">
      <c r="A7" s="8" t="s">
        <v>953</v>
      </c>
      <c r="B7" s="103">
        <f>+'BS GROUP'!F99-20000000</f>
        <v>5252594.6499999985</v>
      </c>
      <c r="C7" s="139">
        <v>9417192</v>
      </c>
    </row>
    <row r="8" spans="1:3" ht="15.75">
      <c r="A8" s="8"/>
      <c r="B8" s="9"/>
      <c r="C8" s="10"/>
    </row>
    <row r="9" spans="1:3" ht="16.5" thickBot="1">
      <c r="A9" s="28" t="s">
        <v>905</v>
      </c>
      <c r="B9" s="34">
        <f>B7</f>
        <v>5252594.6499999985</v>
      </c>
      <c r="C9" s="281">
        <v>9417192</v>
      </c>
    </row>
    <row r="12" ht="15.75">
      <c r="E12" s="287"/>
    </row>
    <row r="13" ht="15.75">
      <c r="E13" s="287"/>
    </row>
    <row r="14" ht="15.75">
      <c r="E14" s="287"/>
    </row>
    <row r="15" ht="15.75">
      <c r="E15" s="287"/>
    </row>
    <row r="16" ht="15.75">
      <c r="E16" s="287"/>
    </row>
    <row r="17" ht="15.75">
      <c r="E17" s="287"/>
    </row>
    <row r="18" ht="15.75">
      <c r="E18" s="287"/>
    </row>
    <row r="19" ht="15.75">
      <c r="E19" s="287"/>
    </row>
    <row r="20" ht="15.75">
      <c r="E20" s="287"/>
    </row>
    <row r="21" ht="15.75">
      <c r="E21" s="287"/>
    </row>
    <row r="22" ht="15.75">
      <c r="E22" s="287"/>
    </row>
    <row r="23" ht="15.75">
      <c r="E23" s="287"/>
    </row>
    <row r="24" ht="15.75">
      <c r="E24" s="287"/>
    </row>
    <row r="25" ht="15.75">
      <c r="E25" s="287"/>
    </row>
    <row r="26" ht="15.75">
      <c r="E26" s="287"/>
    </row>
    <row r="38" ht="15.75" hidden="1"/>
  </sheetData>
  <mergeCells count="1">
    <mergeCell ref="A2:C2"/>
  </mergeCells>
  <printOptions horizontalCentered="1"/>
  <pageMargins left="0.75" right="0.75" top="1" bottom="1" header="0.5" footer="0.5"/>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K38"/>
  <sheetViews>
    <sheetView view="pageBreakPreview" zoomScale="60" workbookViewId="0" topLeftCell="A1">
      <selection activeCell="A6" sqref="A6"/>
    </sheetView>
  </sheetViews>
  <sheetFormatPr defaultColWidth="9.140625" defaultRowHeight="12.75"/>
  <cols>
    <col min="1" max="1" width="43.57421875" style="121" bestFit="1" customWidth="1"/>
    <col min="2" max="2" width="15.7109375" style="121" bestFit="1" customWidth="1"/>
    <col min="3" max="3" width="17.7109375" style="121" bestFit="1" customWidth="1"/>
    <col min="4" max="4" width="14.8515625" style="121" bestFit="1" customWidth="1"/>
    <col min="5" max="5" width="19.421875" style="121" bestFit="1" customWidth="1"/>
    <col min="6" max="6" width="18.28125" style="121" bestFit="1" customWidth="1"/>
    <col min="7" max="7" width="16.8515625" style="121" bestFit="1" customWidth="1"/>
    <col min="8" max="8" width="11.8515625" style="121" bestFit="1" customWidth="1"/>
    <col min="9" max="9" width="17.28125" style="121" bestFit="1" customWidth="1"/>
    <col min="10" max="10" width="19.8515625" style="121" bestFit="1" customWidth="1"/>
    <col min="11" max="11" width="18.28125" style="121" bestFit="1" customWidth="1"/>
    <col min="12" max="16384" width="9.140625" style="121" customWidth="1"/>
  </cols>
  <sheetData>
    <row r="1" spans="1:11" ht="15.75">
      <c r="A1" s="373" t="s">
        <v>972</v>
      </c>
      <c r="B1" s="373"/>
      <c r="C1" s="373"/>
      <c r="D1" s="373"/>
      <c r="E1" s="373"/>
      <c r="F1" s="373"/>
      <c r="G1" s="373"/>
      <c r="H1" s="373"/>
      <c r="I1" s="373"/>
      <c r="J1" s="373"/>
      <c r="K1" s="373"/>
    </row>
    <row r="2" ht="15.75">
      <c r="A2" s="122"/>
    </row>
    <row r="4" spans="1:11" ht="16.5" thickBot="1">
      <c r="A4" s="123"/>
      <c r="K4" s="326" t="s">
        <v>122</v>
      </c>
    </row>
    <row r="5" spans="1:11" ht="15.75">
      <c r="A5" s="374" t="s">
        <v>10</v>
      </c>
      <c r="B5" s="376" t="s">
        <v>973</v>
      </c>
      <c r="C5" s="377"/>
      <c r="D5" s="377"/>
      <c r="E5" s="378"/>
      <c r="F5" s="376" t="s">
        <v>974</v>
      </c>
      <c r="G5" s="377"/>
      <c r="H5" s="377"/>
      <c r="I5" s="378"/>
      <c r="J5" s="376" t="s">
        <v>975</v>
      </c>
      <c r="K5" s="379"/>
    </row>
    <row r="6" spans="1:11" ht="78.75">
      <c r="A6" s="375"/>
      <c r="B6" s="124" t="s">
        <v>976</v>
      </c>
      <c r="C6" s="124" t="s">
        <v>977</v>
      </c>
      <c r="D6" s="124" t="s">
        <v>978</v>
      </c>
      <c r="E6" s="124" t="s">
        <v>979</v>
      </c>
      <c r="F6" s="124" t="s">
        <v>980</v>
      </c>
      <c r="G6" s="124" t="s">
        <v>981</v>
      </c>
      <c r="H6" s="124" t="s">
        <v>982</v>
      </c>
      <c r="I6" s="124" t="s">
        <v>983</v>
      </c>
      <c r="J6" s="124" t="s">
        <v>984</v>
      </c>
      <c r="K6" s="125" t="s">
        <v>985</v>
      </c>
    </row>
    <row r="7" spans="1:11" ht="15.75">
      <c r="A7" s="126" t="s">
        <v>986</v>
      </c>
      <c r="B7" s="127"/>
      <c r="C7" s="128"/>
      <c r="D7" s="128"/>
      <c r="E7" s="128"/>
      <c r="F7" s="128"/>
      <c r="G7" s="128"/>
      <c r="H7" s="128"/>
      <c r="I7" s="128"/>
      <c r="J7" s="128"/>
      <c r="K7" s="129"/>
    </row>
    <row r="8" spans="1:11" ht="15.75">
      <c r="A8" s="130" t="s">
        <v>987</v>
      </c>
      <c r="B8" s="127"/>
      <c r="C8" s="127"/>
      <c r="D8" s="127"/>
      <c r="E8" s="127"/>
      <c r="F8" s="127"/>
      <c r="G8" s="127"/>
      <c r="H8" s="127"/>
      <c r="I8" s="127"/>
      <c r="J8" s="127"/>
      <c r="K8" s="131"/>
    </row>
    <row r="9" spans="1:11" ht="15.75">
      <c r="A9" s="130" t="s">
        <v>123</v>
      </c>
      <c r="B9" s="127">
        <v>197608</v>
      </c>
      <c r="C9" s="127">
        <v>0</v>
      </c>
      <c r="D9" s="127">
        <v>0</v>
      </c>
      <c r="E9" s="127">
        <f>B9+C9-D9</f>
        <v>197608</v>
      </c>
      <c r="F9" s="127">
        <v>0</v>
      </c>
      <c r="G9" s="127">
        <v>0</v>
      </c>
      <c r="H9" s="127">
        <v>0</v>
      </c>
      <c r="I9" s="127">
        <v>0</v>
      </c>
      <c r="J9" s="127">
        <v>197608</v>
      </c>
      <c r="K9" s="131">
        <v>197608</v>
      </c>
    </row>
    <row r="10" spans="1:11" ht="15.75">
      <c r="A10" s="130"/>
      <c r="B10" s="127"/>
      <c r="C10" s="127"/>
      <c r="D10" s="127"/>
      <c r="E10" s="127"/>
      <c r="F10" s="127"/>
      <c r="G10" s="127"/>
      <c r="H10" s="127"/>
      <c r="I10" s="127"/>
      <c r="J10" s="127"/>
      <c r="K10" s="131"/>
    </row>
    <row r="11" spans="1:11" ht="15.75">
      <c r="A11" s="130" t="s">
        <v>988</v>
      </c>
      <c r="B11" s="127"/>
      <c r="C11" s="127"/>
      <c r="D11" s="127"/>
      <c r="E11" s="289"/>
      <c r="F11" s="127"/>
      <c r="G11" s="127"/>
      <c r="H11" s="127"/>
      <c r="I11" s="127"/>
      <c r="J11" s="127"/>
      <c r="K11" s="131"/>
    </row>
    <row r="12" spans="1:11" ht="15.75">
      <c r="A12" s="130" t="s">
        <v>126</v>
      </c>
      <c r="B12" s="127">
        <v>211917800.49999997</v>
      </c>
      <c r="C12" s="127">
        <f>314917155+2</f>
        <v>314917157</v>
      </c>
      <c r="D12" s="127">
        <f>1245622</f>
        <v>1245622</v>
      </c>
      <c r="E12" s="289">
        <f aca="true" t="shared" si="0" ref="E12:E17">B12+C12-D12</f>
        <v>525589335.5</v>
      </c>
      <c r="F12" s="127">
        <v>21104139.5</v>
      </c>
      <c r="G12" s="127">
        <v>3982219</v>
      </c>
      <c r="H12" s="127">
        <v>20305</v>
      </c>
      <c r="I12" s="127">
        <f aca="true" t="shared" si="1" ref="I12:I17">F12+G12-H12</f>
        <v>25066053.5</v>
      </c>
      <c r="J12" s="127">
        <f aca="true" t="shared" si="2" ref="J12:J17">E12-I12</f>
        <v>500523282</v>
      </c>
      <c r="K12" s="131">
        <v>190813660.49999997</v>
      </c>
    </row>
    <row r="13" spans="1:11" ht="15.75">
      <c r="A13" s="130" t="s">
        <v>989</v>
      </c>
      <c r="B13" s="127">
        <f>802907073.11</f>
        <v>802907073.11</v>
      </c>
      <c r="C13" s="127">
        <v>439256052.748858</v>
      </c>
      <c r="D13" s="127">
        <v>0</v>
      </c>
      <c r="E13" s="289">
        <f t="shared" si="0"/>
        <v>1242163125.858858</v>
      </c>
      <c r="F13" s="127">
        <v>198770530</v>
      </c>
      <c r="G13" s="127">
        <v>71956917</v>
      </c>
      <c r="H13" s="127">
        <v>0</v>
      </c>
      <c r="I13" s="127">
        <f t="shared" si="1"/>
        <v>270727447</v>
      </c>
      <c r="J13" s="127">
        <f t="shared" si="2"/>
        <v>971435678.8588581</v>
      </c>
      <c r="K13" s="131">
        <v>604136543.0870379</v>
      </c>
    </row>
    <row r="14" spans="1:11" ht="15.75">
      <c r="A14" s="130" t="s">
        <v>990</v>
      </c>
      <c r="B14" s="127">
        <v>8486046</v>
      </c>
      <c r="C14" s="127">
        <f>495690+2318305</f>
        <v>2813995</v>
      </c>
      <c r="D14" s="127">
        <v>0</v>
      </c>
      <c r="E14" s="289">
        <f t="shared" si="0"/>
        <v>11300041</v>
      </c>
      <c r="F14" s="127">
        <v>718487</v>
      </c>
      <c r="G14" s="127">
        <f>426632+63277</f>
        <v>489909</v>
      </c>
      <c r="H14" s="127">
        <v>0</v>
      </c>
      <c r="I14" s="127">
        <f t="shared" si="1"/>
        <v>1208396</v>
      </c>
      <c r="J14" s="127">
        <f t="shared" si="2"/>
        <v>10091645</v>
      </c>
      <c r="K14" s="131">
        <f>7767559-1</f>
        <v>7767558</v>
      </c>
    </row>
    <row r="15" spans="1:11" ht="15.75">
      <c r="A15" s="130" t="s">
        <v>991</v>
      </c>
      <c r="B15" s="127">
        <v>29159975</v>
      </c>
      <c r="C15" s="127">
        <v>33965840.5371778</v>
      </c>
      <c r="D15" s="127">
        <v>0</v>
      </c>
      <c r="E15" s="289">
        <f t="shared" si="0"/>
        <v>63125815.5371778</v>
      </c>
      <c r="F15" s="127">
        <v>14253830</v>
      </c>
      <c r="G15" s="127">
        <v>4778192</v>
      </c>
      <c r="H15" s="127">
        <v>0</v>
      </c>
      <c r="I15" s="127">
        <f t="shared" si="1"/>
        <v>19032022</v>
      </c>
      <c r="J15" s="127">
        <f t="shared" si="2"/>
        <v>44093793.5371778</v>
      </c>
      <c r="K15" s="131">
        <v>14906145</v>
      </c>
    </row>
    <row r="16" spans="1:11" ht="15.75">
      <c r="A16" s="130" t="s">
        <v>992</v>
      </c>
      <c r="B16" s="127">
        <f>2664367.05-1</f>
        <v>2664366.05</v>
      </c>
      <c r="C16" s="127">
        <v>3639417</v>
      </c>
      <c r="D16" s="127">
        <v>0</v>
      </c>
      <c r="E16" s="289">
        <f t="shared" si="0"/>
        <v>6303783.05</v>
      </c>
      <c r="F16" s="127">
        <v>275296.9975</v>
      </c>
      <c r="G16" s="127">
        <v>268035.68501883565</v>
      </c>
      <c r="H16" s="127">
        <v>0</v>
      </c>
      <c r="I16" s="127">
        <f t="shared" si="1"/>
        <v>543332.6825188356</v>
      </c>
      <c r="J16" s="127">
        <f t="shared" si="2"/>
        <v>5760450.367481165</v>
      </c>
      <c r="K16" s="131">
        <v>2389069</v>
      </c>
    </row>
    <row r="17" spans="1:11" ht="15.75">
      <c r="A17" s="130" t="s">
        <v>993</v>
      </c>
      <c r="B17" s="127">
        <v>91081875</v>
      </c>
      <c r="C17" s="127">
        <v>33376868.431940116</v>
      </c>
      <c r="D17" s="127">
        <v>0</v>
      </c>
      <c r="E17" s="289">
        <f t="shared" si="0"/>
        <v>124458743.43194011</v>
      </c>
      <c r="F17" s="127">
        <v>38101095</v>
      </c>
      <c r="G17" s="127">
        <v>19036034</v>
      </c>
      <c r="H17" s="127">
        <v>0</v>
      </c>
      <c r="I17" s="127">
        <f t="shared" si="1"/>
        <v>57137129</v>
      </c>
      <c r="J17" s="127">
        <f t="shared" si="2"/>
        <v>67321614.43194011</v>
      </c>
      <c r="K17" s="131">
        <f>52980780+1</f>
        <v>52980781</v>
      </c>
    </row>
    <row r="18" spans="1:11" ht="15.75">
      <c r="A18" s="130"/>
      <c r="B18" s="127"/>
      <c r="C18" s="127"/>
      <c r="D18" s="127"/>
      <c r="E18" s="289"/>
      <c r="F18" s="127"/>
      <c r="G18" s="127"/>
      <c r="H18" s="127"/>
      <c r="I18" s="127"/>
      <c r="J18" s="127"/>
      <c r="K18" s="131"/>
    </row>
    <row r="19" spans="1:11" ht="15.75">
      <c r="A19" s="132" t="s">
        <v>994</v>
      </c>
      <c r="B19" s="42">
        <f>SUM(B9:B17)</f>
        <v>1146414743.6599998</v>
      </c>
      <c r="C19" s="42">
        <f>SUM(C9:C17)</f>
        <v>827969330.7179759</v>
      </c>
      <c r="D19" s="42">
        <f>SUM(D9:D17)</f>
        <v>1245622</v>
      </c>
      <c r="E19" s="290">
        <f>SUM(E9:E17)+1</f>
        <v>1973138453.377976</v>
      </c>
      <c r="F19" s="42">
        <f>SUM(F9:F17)+0.5</f>
        <v>273223378.9975</v>
      </c>
      <c r="G19" s="42">
        <f>SUM(G9:G17)</f>
        <v>100511306.68501884</v>
      </c>
      <c r="H19" s="42">
        <f>SUM(H9:H17)</f>
        <v>20305</v>
      </c>
      <c r="I19" s="42">
        <f>SUM(I9:I17)+1</f>
        <v>373714381.18251884</v>
      </c>
      <c r="J19" s="42">
        <f>SUM(J9:J17)</f>
        <v>1599424072.1954572</v>
      </c>
      <c r="K19" s="43">
        <f>SUM(K9:K17)</f>
        <v>873191364.5870379</v>
      </c>
    </row>
    <row r="20" spans="1:11" ht="16.5" thickBot="1">
      <c r="A20" s="133" t="s">
        <v>132</v>
      </c>
      <c r="B20" s="305">
        <v>697099200</v>
      </c>
      <c r="C20" s="305">
        <v>449315544</v>
      </c>
      <c r="D20" s="305">
        <v>0</v>
      </c>
      <c r="E20" s="306">
        <f>1146414744</f>
        <v>1146414744</v>
      </c>
      <c r="F20" s="305">
        <v>133067186</v>
      </c>
      <c r="G20" s="305">
        <v>140156193</v>
      </c>
      <c r="H20" s="305">
        <v>0</v>
      </c>
      <c r="I20" s="305">
        <v>273223379</v>
      </c>
      <c r="J20" s="307">
        <v>873191365</v>
      </c>
      <c r="K20" s="308">
        <v>564032014</v>
      </c>
    </row>
    <row r="21" spans="1:11" ht="15.75">
      <c r="A21" s="301"/>
      <c r="B21" s="302"/>
      <c r="C21" s="302"/>
      <c r="D21" s="302"/>
      <c r="E21" s="303"/>
      <c r="F21" s="302"/>
      <c r="G21" s="302"/>
      <c r="H21" s="302"/>
      <c r="I21" s="302"/>
      <c r="J21" s="302"/>
      <c r="K21" s="304"/>
    </row>
    <row r="22" spans="1:11" ht="15.75">
      <c r="A22" s="126" t="s">
        <v>130</v>
      </c>
      <c r="B22" s="332">
        <v>0</v>
      </c>
      <c r="C22" s="332">
        <v>0</v>
      </c>
      <c r="D22" s="332">
        <v>0</v>
      </c>
      <c r="E22" s="333">
        <v>0</v>
      </c>
      <c r="F22" s="332">
        <v>0</v>
      </c>
      <c r="G22" s="332">
        <v>0</v>
      </c>
      <c r="H22" s="332">
        <v>0</v>
      </c>
      <c r="I22" s="332">
        <v>0</v>
      </c>
      <c r="J22" s="332">
        <v>145916357.16</v>
      </c>
      <c r="K22" s="334">
        <v>684558029.0799999</v>
      </c>
    </row>
    <row r="23" spans="1:11" ht="15.75">
      <c r="A23" s="301" t="s">
        <v>131</v>
      </c>
      <c r="B23" s="335"/>
      <c r="C23" s="335"/>
      <c r="D23" s="335"/>
      <c r="E23" s="336"/>
      <c r="F23" s="335"/>
      <c r="G23" s="335"/>
      <c r="H23" s="335"/>
      <c r="I23" s="335"/>
      <c r="J23" s="335"/>
      <c r="K23" s="337"/>
    </row>
    <row r="24" spans="1:11" ht="16.5" thickBot="1">
      <c r="A24" s="133" t="s">
        <v>774</v>
      </c>
      <c r="B24" s="134">
        <f>B19+B22</f>
        <v>1146414743.6599998</v>
      </c>
      <c r="C24" s="134">
        <f aca="true" t="shared" si="3" ref="C24:I24">C19+C22</f>
        <v>827969330.7179759</v>
      </c>
      <c r="D24" s="134">
        <f t="shared" si="3"/>
        <v>1245622</v>
      </c>
      <c r="E24" s="291">
        <f t="shared" si="3"/>
        <v>1973138453.377976</v>
      </c>
      <c r="F24" s="134">
        <f t="shared" si="3"/>
        <v>273223378.9975</v>
      </c>
      <c r="G24" s="134">
        <f t="shared" si="3"/>
        <v>100511306.68501884</v>
      </c>
      <c r="H24" s="134">
        <f t="shared" si="3"/>
        <v>20305</v>
      </c>
      <c r="I24" s="134">
        <f t="shared" si="3"/>
        <v>373714381.18251884</v>
      </c>
      <c r="J24" s="134">
        <f>J19+J22</f>
        <v>1745340429.3554573</v>
      </c>
      <c r="K24" s="236">
        <f>K19+K22</f>
        <v>1557749393.667038</v>
      </c>
    </row>
    <row r="25" spans="1:6" ht="15.75">
      <c r="A25" s="121" t="s">
        <v>402</v>
      </c>
      <c r="C25" s="135"/>
      <c r="E25" s="292"/>
      <c r="F25" s="136"/>
    </row>
    <row r="26" ht="15.75">
      <c r="A26" s="137" t="s">
        <v>995</v>
      </c>
    </row>
    <row r="27" spans="1:11" ht="15.75">
      <c r="A27" s="380" t="s">
        <v>996</v>
      </c>
      <c r="B27" s="380"/>
      <c r="C27" s="380"/>
      <c r="D27" s="380"/>
      <c r="E27" s="380"/>
      <c r="F27" s="380"/>
      <c r="G27" s="380"/>
      <c r="H27" s="380"/>
      <c r="I27" s="380"/>
      <c r="J27" s="380"/>
      <c r="K27" s="380"/>
    </row>
    <row r="28" spans="1:11" ht="15.75" hidden="1">
      <c r="A28" s="380" t="s">
        <v>997</v>
      </c>
      <c r="B28" s="380"/>
      <c r="C28" s="380"/>
      <c r="D28" s="380"/>
      <c r="E28" s="380"/>
      <c r="F28" s="380"/>
      <c r="G28" s="380"/>
      <c r="H28" s="380"/>
      <c r="I28" s="380"/>
      <c r="J28" s="380"/>
      <c r="K28" s="380"/>
    </row>
    <row r="29" spans="1:11" ht="15.75" hidden="1">
      <c r="A29" s="380" t="s">
        <v>998</v>
      </c>
      <c r="B29" s="380"/>
      <c r="C29" s="380"/>
      <c r="D29" s="380"/>
      <c r="E29" s="380"/>
      <c r="F29" s="380"/>
      <c r="G29" s="380"/>
      <c r="H29" s="380"/>
      <c r="I29" s="380"/>
      <c r="J29" s="380"/>
      <c r="K29" s="380"/>
    </row>
    <row r="30" spans="1:11" ht="15.75" hidden="1">
      <c r="A30" s="380" t="s">
        <v>999</v>
      </c>
      <c r="B30" s="380"/>
      <c r="C30" s="380"/>
      <c r="D30" s="380"/>
      <c r="E30" s="380"/>
      <c r="F30" s="380"/>
      <c r="G30" s="380"/>
      <c r="H30" s="380"/>
      <c r="I30" s="380"/>
      <c r="J30" s="380"/>
      <c r="K30" s="380"/>
    </row>
    <row r="31" spans="1:11" ht="15.75" hidden="1">
      <c r="A31" s="380" t="s">
        <v>1000</v>
      </c>
      <c r="B31" s="380"/>
      <c r="C31" s="380"/>
      <c r="D31" s="380"/>
      <c r="E31" s="380"/>
      <c r="F31" s="380"/>
      <c r="G31" s="380"/>
      <c r="H31" s="380"/>
      <c r="I31" s="380"/>
      <c r="J31" s="380"/>
      <c r="K31" s="380"/>
    </row>
    <row r="32" spans="1:11" ht="15.75" hidden="1">
      <c r="A32" s="380" t="s">
        <v>1001</v>
      </c>
      <c r="B32" s="380"/>
      <c r="C32" s="380"/>
      <c r="D32" s="380"/>
      <c r="E32" s="380"/>
      <c r="F32" s="380"/>
      <c r="G32" s="380"/>
      <c r="H32" s="380"/>
      <c r="I32" s="380"/>
      <c r="J32" s="380"/>
      <c r="K32" s="380"/>
    </row>
    <row r="33" spans="1:11" ht="15.75" hidden="1">
      <c r="A33" s="380" t="s">
        <v>0</v>
      </c>
      <c r="B33" s="380"/>
      <c r="C33" s="380"/>
      <c r="D33" s="380"/>
      <c r="E33" s="380"/>
      <c r="F33" s="380"/>
      <c r="G33" s="380"/>
      <c r="H33" s="380"/>
      <c r="I33" s="380"/>
      <c r="J33" s="380"/>
      <c r="K33" s="380"/>
    </row>
    <row r="34" spans="1:11" ht="33" customHeight="1">
      <c r="A34" s="381" t="s">
        <v>124</v>
      </c>
      <c r="B34" s="381"/>
      <c r="C34" s="381"/>
      <c r="D34" s="381"/>
      <c r="E34" s="381"/>
      <c r="F34" s="381"/>
      <c r="G34" s="381"/>
      <c r="H34" s="381"/>
      <c r="I34" s="381"/>
      <c r="J34" s="381"/>
      <c r="K34" s="381"/>
    </row>
    <row r="35" spans="1:11" ht="15.75" hidden="1">
      <c r="A35" s="380" t="s">
        <v>1</v>
      </c>
      <c r="B35" s="380"/>
      <c r="C35" s="380"/>
      <c r="D35" s="380"/>
      <c r="E35" s="380"/>
      <c r="F35" s="380"/>
      <c r="G35" s="380"/>
      <c r="H35" s="380"/>
      <c r="I35" s="380"/>
      <c r="J35" s="380"/>
      <c r="K35" s="380"/>
    </row>
    <row r="36" ht="15.75">
      <c r="A36" s="121" t="s">
        <v>128</v>
      </c>
    </row>
    <row r="37" ht="15.75">
      <c r="A37" s="121" t="s">
        <v>127</v>
      </c>
    </row>
    <row r="38" ht="15.75">
      <c r="A38" s="121" t="s">
        <v>129</v>
      </c>
    </row>
  </sheetData>
  <mergeCells count="14">
    <mergeCell ref="A35:K35"/>
    <mergeCell ref="A31:K31"/>
    <mergeCell ref="A32:K32"/>
    <mergeCell ref="A33:K33"/>
    <mergeCell ref="A34:K34"/>
    <mergeCell ref="A27:K27"/>
    <mergeCell ref="A28:K28"/>
    <mergeCell ref="A29:K29"/>
    <mergeCell ref="A30:K30"/>
    <mergeCell ref="A1:K1"/>
    <mergeCell ref="A5:A6"/>
    <mergeCell ref="B5:E5"/>
    <mergeCell ref="F5:I5"/>
    <mergeCell ref="J5:K5"/>
  </mergeCells>
  <printOptions horizontalCentered="1"/>
  <pageMargins left="0.5" right="0.5" top="0.75" bottom="0.75" header="0.5" footer="0.5"/>
  <pageSetup fitToHeight="1" fitToWidth="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sheetPr codeName="Sheet2">
    <pageSetUpPr fitToPage="1"/>
  </sheetPr>
  <dimension ref="A2:E26"/>
  <sheetViews>
    <sheetView view="pageBreakPreview" zoomScale="60" workbookViewId="0" topLeftCell="A1">
      <selection activeCell="A6" sqref="A6"/>
    </sheetView>
  </sheetViews>
  <sheetFormatPr defaultColWidth="9.140625" defaultRowHeight="12.75"/>
  <cols>
    <col min="1" max="1" width="39.421875" style="63" bestFit="1" customWidth="1"/>
    <col min="2" max="2" width="16.8515625" style="63" bestFit="1" customWidth="1"/>
    <col min="3" max="3" width="14.140625" style="63" bestFit="1" customWidth="1"/>
    <col min="4" max="4" width="9.140625" style="63" customWidth="1"/>
    <col min="5" max="5" width="2.140625" style="63" bestFit="1" customWidth="1"/>
    <col min="6" max="16384" width="9.140625" style="63" customWidth="1"/>
  </cols>
  <sheetData>
    <row r="2" spans="1:4" ht="15.75">
      <c r="A2" s="358" t="s">
        <v>440</v>
      </c>
      <c r="B2" s="358"/>
      <c r="C2" s="358"/>
      <c r="D2" s="358"/>
    </row>
    <row r="3" spans="1:4" ht="15.75">
      <c r="A3" s="27"/>
      <c r="B3" s="27"/>
      <c r="C3" s="27"/>
      <c r="D3" s="27"/>
    </row>
    <row r="4" spans="1:4" ht="16.5" thickBot="1">
      <c r="A4" s="27"/>
      <c r="B4" s="27"/>
      <c r="C4" s="316" t="s">
        <v>122</v>
      </c>
      <c r="D4" s="27"/>
    </row>
    <row r="5" spans="1:3" s="249" customFormat="1" ht="31.5">
      <c r="A5" s="253" t="s">
        <v>10</v>
      </c>
      <c r="B5" s="254" t="s">
        <v>783</v>
      </c>
      <c r="C5" s="280" t="s">
        <v>893</v>
      </c>
    </row>
    <row r="6" spans="1:3" s="249" customFormat="1" ht="15.75">
      <c r="A6" s="148"/>
      <c r="B6" s="259"/>
      <c r="C6" s="263"/>
    </row>
    <row r="7" spans="1:3" ht="31.5">
      <c r="A7" s="92" t="s">
        <v>125</v>
      </c>
      <c r="B7" s="100">
        <f>'BS GROUP'!C127</f>
        <v>70000000</v>
      </c>
      <c r="C7" s="101">
        <v>0</v>
      </c>
    </row>
    <row r="8" spans="1:3" ht="15.75">
      <c r="A8" s="8"/>
      <c r="B8" s="100"/>
      <c r="C8" s="101"/>
    </row>
    <row r="9" spans="1:3" ht="16.5" thickBot="1">
      <c r="A9" s="256" t="s">
        <v>774</v>
      </c>
      <c r="B9" s="240">
        <f>SUM(B7:B8)</f>
        <v>70000000</v>
      </c>
      <c r="C9" s="241">
        <f>SUM(C7:C8)</f>
        <v>0</v>
      </c>
    </row>
    <row r="12" ht="15.75">
      <c r="E12" s="287"/>
    </row>
    <row r="13" ht="15.75">
      <c r="E13" s="287"/>
    </row>
    <row r="14" ht="15.75">
      <c r="E14" s="287"/>
    </row>
    <row r="15" ht="15.75">
      <c r="E15" s="287"/>
    </row>
    <row r="16" ht="15.75">
      <c r="E16" s="287"/>
    </row>
    <row r="17" ht="15.75">
      <c r="E17" s="287"/>
    </row>
    <row r="18" ht="15.75">
      <c r="E18" s="287"/>
    </row>
    <row r="19" ht="15.75">
      <c r="E19" s="287"/>
    </row>
    <row r="20" ht="15.75">
      <c r="E20" s="287"/>
    </row>
    <row r="21" ht="15.75">
      <c r="E21" s="287"/>
    </row>
    <row r="22" ht="15.75">
      <c r="E22" s="287"/>
    </row>
    <row r="23" ht="15.75">
      <c r="E23" s="287"/>
    </row>
    <row r="24" ht="15.75">
      <c r="E24" s="287"/>
    </row>
    <row r="25" ht="15.75">
      <c r="E25" s="287"/>
    </row>
    <row r="26" ht="15.75">
      <c r="E26" s="287"/>
    </row>
    <row r="38" ht="15.75" hidden="1"/>
  </sheetData>
  <mergeCells count="1">
    <mergeCell ref="A2:D2"/>
  </mergeCells>
  <printOptions horizontalCentered="1"/>
  <pageMargins left="0.75" right="0.75" top="1" bottom="1" header="0.5" footer="0.5"/>
  <pageSetup fitToHeight="1" fitToWidth="1" horizontalDpi="180" verticalDpi="18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E61"/>
  <sheetViews>
    <sheetView view="pageBreakPreview" zoomScale="60" workbookViewId="0" topLeftCell="A1">
      <selection activeCell="A6" sqref="A6"/>
    </sheetView>
  </sheetViews>
  <sheetFormatPr defaultColWidth="9.140625" defaultRowHeight="12.75"/>
  <cols>
    <col min="1" max="1" width="71.28125" style="63" bestFit="1" customWidth="1"/>
    <col min="2" max="2" width="15.28125" style="63" customWidth="1"/>
    <col min="3" max="3" width="17.28125" style="63" bestFit="1" customWidth="1"/>
    <col min="4" max="4" width="15.28125" style="63" customWidth="1"/>
    <col min="5" max="5" width="18.28125" style="63" bestFit="1" customWidth="1"/>
    <col min="6" max="16384" width="9.140625" style="63" customWidth="1"/>
  </cols>
  <sheetData>
    <row r="1" spans="1:5" ht="15.75">
      <c r="A1" s="358" t="s">
        <v>452</v>
      </c>
      <c r="B1" s="358"/>
      <c r="C1" s="358"/>
      <c r="D1" s="358"/>
      <c r="E1" s="358"/>
    </row>
    <row r="2" spans="1:5" ht="15.75">
      <c r="A2" s="27"/>
      <c r="B2" s="27"/>
      <c r="C2" s="27"/>
      <c r="D2" s="27"/>
      <c r="E2" s="27"/>
    </row>
    <row r="3" spans="1:5" ht="16.5" thickBot="1">
      <c r="A3" s="2"/>
      <c r="B3" s="5"/>
      <c r="C3" s="5"/>
      <c r="D3" s="5"/>
      <c r="E3" s="316" t="s">
        <v>122</v>
      </c>
    </row>
    <row r="4" spans="1:5" ht="15.75">
      <c r="A4" s="38" t="s">
        <v>10</v>
      </c>
      <c r="B4" s="370" t="s">
        <v>783</v>
      </c>
      <c r="C4" s="369"/>
      <c r="D4" s="370" t="s">
        <v>893</v>
      </c>
      <c r="E4" s="371"/>
    </row>
    <row r="5" spans="1:5" ht="15.75">
      <c r="A5" s="30"/>
      <c r="B5" s="116"/>
      <c r="C5" s="117"/>
      <c r="D5" s="116"/>
      <c r="E5" s="118"/>
    </row>
    <row r="6" spans="1:5" ht="15.75">
      <c r="A6" s="39" t="s">
        <v>906</v>
      </c>
      <c r="B6" s="116"/>
      <c r="C6" s="116"/>
      <c r="D6" s="116"/>
      <c r="E6" s="118"/>
    </row>
    <row r="7" spans="1:5" ht="15.75">
      <c r="A7" s="30"/>
      <c r="B7" s="116"/>
      <c r="C7" s="116"/>
      <c r="D7" s="116"/>
      <c r="E7" s="118"/>
    </row>
    <row r="8" spans="1:5" ht="15.75">
      <c r="A8" s="110" t="s">
        <v>133</v>
      </c>
      <c r="B8" s="116"/>
      <c r="C8" s="116"/>
      <c r="D8" s="116"/>
      <c r="E8" s="118"/>
    </row>
    <row r="9" spans="1:5" ht="15.75">
      <c r="A9" s="30" t="s">
        <v>134</v>
      </c>
      <c r="B9" s="100"/>
      <c r="C9" s="100">
        <f>+'BS GROUP'!F103</f>
        <v>27945906</v>
      </c>
      <c r="D9" s="100">
        <v>18343232</v>
      </c>
      <c r="E9" s="102"/>
    </row>
    <row r="10" spans="1:5" ht="15.75">
      <c r="A10" s="30"/>
      <c r="B10" s="100"/>
      <c r="C10" s="100"/>
      <c r="D10" s="100"/>
      <c r="E10" s="102"/>
    </row>
    <row r="11" spans="1:5" ht="15.75">
      <c r="A11" s="110" t="s">
        <v>135</v>
      </c>
      <c r="B11" s="100"/>
      <c r="C11" s="100"/>
      <c r="D11" s="100"/>
      <c r="E11" s="102">
        <f>SUM(D9)</f>
        <v>18343232</v>
      </c>
    </row>
    <row r="12" spans="1:5" ht="15.75">
      <c r="A12" s="30" t="s">
        <v>955</v>
      </c>
      <c r="B12" s="100"/>
      <c r="C12" s="100"/>
      <c r="D12" s="100"/>
      <c r="E12" s="288"/>
    </row>
    <row r="13" spans="1:5" ht="15.75">
      <c r="A13" s="30" t="s">
        <v>956</v>
      </c>
      <c r="B13" s="269">
        <f>31108000+54944721-B14</f>
        <v>77741137</v>
      </c>
      <c r="C13" s="100"/>
      <c r="D13" s="246">
        <v>45404222</v>
      </c>
      <c r="E13" s="288"/>
    </row>
    <row r="14" spans="1:5" ht="15.75">
      <c r="A14" s="30" t="s">
        <v>957</v>
      </c>
      <c r="B14" s="270">
        <v>8311584</v>
      </c>
      <c r="C14" s="100"/>
      <c r="D14" s="271">
        <v>17306096</v>
      </c>
      <c r="E14" s="288"/>
    </row>
    <row r="15" spans="1:5" ht="15.75">
      <c r="A15" s="8"/>
      <c r="B15" s="272">
        <f>SUM(B13:B14)</f>
        <v>86052721</v>
      </c>
      <c r="C15" s="100"/>
      <c r="D15" s="246">
        <f>SUM(D13:D14)</f>
        <v>62710318</v>
      </c>
      <c r="E15" s="288"/>
    </row>
    <row r="16" spans="1:5" ht="15.75">
      <c r="A16" s="30" t="s">
        <v>907</v>
      </c>
      <c r="B16" s="270">
        <v>110522257</v>
      </c>
      <c r="C16" s="100"/>
      <c r="D16" s="271">
        <v>63502597</v>
      </c>
      <c r="E16" s="288"/>
    </row>
    <row r="17" spans="1:5" ht="15.75">
      <c r="A17" s="30"/>
      <c r="B17" s="100">
        <f>SUM(B15:B16)</f>
        <v>196574978</v>
      </c>
      <c r="C17" s="100"/>
      <c r="D17" s="100">
        <f>SUM(D15:D16)</f>
        <v>126212915</v>
      </c>
      <c r="E17" s="288"/>
    </row>
    <row r="18" spans="1:5" ht="15.75">
      <c r="A18" s="30" t="s">
        <v>958</v>
      </c>
      <c r="B18" s="245">
        <v>8311584</v>
      </c>
      <c r="C18" s="100">
        <f>+'BS GROUP'!F105</f>
        <v>188263394</v>
      </c>
      <c r="D18" s="245">
        <v>17306096</v>
      </c>
      <c r="E18" s="288">
        <f>+D17-D18</f>
        <v>108906819</v>
      </c>
    </row>
    <row r="19" spans="1:5" ht="15.75">
      <c r="A19" s="30"/>
      <c r="B19" s="100"/>
      <c r="C19" s="100"/>
      <c r="D19" s="100"/>
      <c r="E19" s="288"/>
    </row>
    <row r="20" spans="1:5" ht="15.75">
      <c r="A20" s="110" t="s">
        <v>908</v>
      </c>
      <c r="B20" s="100"/>
      <c r="C20" s="100">
        <f>716825+16150+2284+1931</f>
        <v>737190</v>
      </c>
      <c r="D20" s="100"/>
      <c r="E20" s="288">
        <v>761567</v>
      </c>
    </row>
    <row r="21" spans="1:5" ht="15.75">
      <c r="A21" s="110"/>
      <c r="B21" s="100"/>
      <c r="C21" s="100"/>
      <c r="D21" s="100"/>
      <c r="E21" s="288"/>
    </row>
    <row r="22" spans="1:5" ht="15.75">
      <c r="A22" s="110" t="s">
        <v>909</v>
      </c>
      <c r="B22" s="100"/>
      <c r="C22" s="100">
        <f>+'BS GROUP'!F115-C20</f>
        <v>2158907</v>
      </c>
      <c r="D22" s="100"/>
      <c r="E22" s="288">
        <v>6494651</v>
      </c>
    </row>
    <row r="23" spans="1:5" ht="15.75">
      <c r="A23" s="110"/>
      <c r="B23" s="100"/>
      <c r="C23" s="100"/>
      <c r="D23" s="100"/>
      <c r="E23" s="288"/>
    </row>
    <row r="24" spans="1:5" ht="15.75">
      <c r="A24" s="30"/>
      <c r="B24" s="100"/>
      <c r="C24" s="100"/>
      <c r="D24" s="100"/>
      <c r="E24" s="288"/>
    </row>
    <row r="25" spans="1:5" ht="15.75">
      <c r="A25" s="110" t="s">
        <v>136</v>
      </c>
      <c r="B25" s="100"/>
      <c r="C25" s="100"/>
      <c r="D25" s="100"/>
      <c r="E25" s="288"/>
    </row>
    <row r="26" spans="1:5" ht="15.75">
      <c r="A26" s="30" t="s">
        <v>570</v>
      </c>
      <c r="B26" s="100"/>
      <c r="C26" s="100"/>
      <c r="D26" s="100"/>
      <c r="E26" s="288"/>
    </row>
    <row r="27" spans="1:5" ht="15.75">
      <c r="A27" s="30" t="s">
        <v>910</v>
      </c>
      <c r="B27" s="100">
        <f>+'BS GROUP'!F124</f>
        <v>3901465.52</v>
      </c>
      <c r="C27" s="100"/>
      <c r="D27" s="100">
        <v>6247526</v>
      </c>
      <c r="E27" s="102"/>
    </row>
    <row r="28" spans="1:5" ht="15.75">
      <c r="A28" s="30" t="s">
        <v>488</v>
      </c>
      <c r="B28" s="100">
        <f>+'BS GROUP'!F128-70000000</f>
        <v>200400000</v>
      </c>
      <c r="C28" s="100"/>
      <c r="D28" s="100">
        <v>329467785</v>
      </c>
      <c r="E28" s="102"/>
    </row>
    <row r="29" spans="1:5" ht="15.75">
      <c r="A29" s="30" t="s">
        <v>911</v>
      </c>
      <c r="B29" s="245">
        <f>+'BS GROUP'!F134</f>
        <v>2532811.32</v>
      </c>
      <c r="C29" s="100">
        <f>SUM(B27:B29)</f>
        <v>206834276.84</v>
      </c>
      <c r="D29" s="245">
        <v>1017340</v>
      </c>
      <c r="E29" s="102">
        <f>SUM(D27:D29)</f>
        <v>336732651</v>
      </c>
    </row>
    <row r="30" spans="1:5" ht="15.75">
      <c r="A30" s="30"/>
      <c r="B30" s="100"/>
      <c r="C30" s="100"/>
      <c r="D30" s="100"/>
      <c r="E30" s="102"/>
    </row>
    <row r="31" spans="1:5" ht="16.5" thickBot="1">
      <c r="A31" s="40" t="s">
        <v>789</v>
      </c>
      <c r="B31" s="250"/>
      <c r="C31" s="250">
        <f>SUM(C7:C29)</f>
        <v>425939673.84000003</v>
      </c>
      <c r="D31" s="250"/>
      <c r="E31" s="251">
        <f>SUM(E7:E29)</f>
        <v>471238920</v>
      </c>
    </row>
    <row r="32" spans="1:5" ht="15.75">
      <c r="A32" s="338"/>
      <c r="B32" s="339"/>
      <c r="C32" s="339"/>
      <c r="D32" s="339"/>
      <c r="E32" s="339"/>
    </row>
    <row r="33" spans="1:5" ht="15.75">
      <c r="A33" s="163"/>
      <c r="B33" s="197"/>
      <c r="C33" s="197"/>
      <c r="D33" s="197"/>
      <c r="E33" s="340" t="s">
        <v>137</v>
      </c>
    </row>
    <row r="34" spans="1:5" ht="15.75">
      <c r="A34" s="110" t="s">
        <v>912</v>
      </c>
      <c r="B34" s="100"/>
      <c r="C34" s="100"/>
      <c r="D34" s="100"/>
      <c r="E34" s="101"/>
    </row>
    <row r="35" spans="1:5" ht="15.75">
      <c r="A35" s="30"/>
      <c r="B35" s="100"/>
      <c r="C35" s="100"/>
      <c r="D35" s="100"/>
      <c r="E35" s="102"/>
    </row>
    <row r="36" spans="1:5" ht="15.75">
      <c r="A36" s="110" t="s">
        <v>913</v>
      </c>
      <c r="B36" s="100"/>
      <c r="C36" s="100"/>
      <c r="D36" s="100"/>
      <c r="E36" s="102"/>
    </row>
    <row r="37" spans="1:5" ht="15.75">
      <c r="A37" s="120" t="s">
        <v>959</v>
      </c>
      <c r="B37" s="100"/>
      <c r="C37" s="100"/>
      <c r="D37" s="100"/>
      <c r="E37" s="102"/>
    </row>
    <row r="38" spans="1:5" ht="15.75">
      <c r="A38" s="30" t="s">
        <v>960</v>
      </c>
      <c r="B38" s="100">
        <f>+'BS GROUP'!F138+'BS GROUP'!F176</f>
        <v>30497586.39</v>
      </c>
      <c r="C38" s="100"/>
      <c r="D38" s="100">
        <v>26186583</v>
      </c>
      <c r="E38" s="102"/>
    </row>
    <row r="39" spans="1:5" ht="15.75">
      <c r="A39" s="30" t="s">
        <v>177</v>
      </c>
      <c r="B39" s="245">
        <f>-'GROUPINGS FINAL'!E384</f>
        <v>6561456</v>
      </c>
      <c r="C39" s="100"/>
      <c r="D39" s="245">
        <v>7900602</v>
      </c>
      <c r="E39" s="102"/>
    </row>
    <row r="40" spans="1:5" ht="15.75">
      <c r="A40" s="30"/>
      <c r="B40" s="100">
        <f>+B38-B39</f>
        <v>23936130.39</v>
      </c>
      <c r="C40" s="100"/>
      <c r="D40" s="100">
        <f>+D38-D39</f>
        <v>18285981</v>
      </c>
      <c r="E40" s="102"/>
    </row>
    <row r="41" spans="1:5" ht="15.75">
      <c r="A41" s="30" t="s">
        <v>914</v>
      </c>
      <c r="B41" s="100">
        <f>+'BS GROUP'!F178</f>
        <v>10772420</v>
      </c>
      <c r="C41" s="100"/>
      <c r="D41" s="100">
        <v>18413041</v>
      </c>
      <c r="E41" s="102"/>
    </row>
    <row r="42" spans="1:5" ht="15.75">
      <c r="A42" s="30" t="s">
        <v>915</v>
      </c>
      <c r="B42" s="245">
        <f>+'BS GROUP'!F183</f>
        <v>6277711.66</v>
      </c>
      <c r="C42" s="100">
        <f>SUM(B40:B42)</f>
        <v>40986262.05</v>
      </c>
      <c r="D42" s="245">
        <v>5762973</v>
      </c>
      <c r="E42" s="102">
        <f>SUM(D40:D42)</f>
        <v>42461995</v>
      </c>
    </row>
    <row r="43" spans="1:5" ht="15.75">
      <c r="A43" s="30"/>
      <c r="B43" s="100"/>
      <c r="C43" s="5"/>
      <c r="D43" s="279"/>
      <c r="E43" s="10"/>
    </row>
    <row r="44" spans="1:5" ht="15.75">
      <c r="A44" s="110" t="s">
        <v>501</v>
      </c>
      <c r="B44" s="100"/>
      <c r="C44" s="100"/>
      <c r="D44" s="100"/>
      <c r="E44" s="102"/>
    </row>
    <row r="45" spans="1:5" ht="15.75">
      <c r="A45" s="30" t="s">
        <v>916</v>
      </c>
      <c r="B45" s="100">
        <f>+'BS GROUP'!F186-B46</f>
        <v>3097977</v>
      </c>
      <c r="C45" s="100"/>
      <c r="D45" s="100">
        <v>1299777</v>
      </c>
      <c r="E45" s="102"/>
    </row>
    <row r="46" spans="1:5" ht="15.75">
      <c r="A46" s="30" t="s">
        <v>917</v>
      </c>
      <c r="B46" s="245">
        <v>43386</v>
      </c>
      <c r="C46" s="100">
        <f>SUM(B45:B46)</f>
        <v>3141363</v>
      </c>
      <c r="D46" s="245">
        <v>39162</v>
      </c>
      <c r="E46" s="102">
        <f>SUM(D45:D47)</f>
        <v>1338939</v>
      </c>
    </row>
    <row r="47" spans="1:5" ht="15.75">
      <c r="A47" s="30"/>
      <c r="B47" s="100"/>
      <c r="C47" s="5"/>
      <c r="D47" s="100"/>
      <c r="E47" s="10"/>
    </row>
    <row r="48" spans="1:5" ht="15.75">
      <c r="A48" s="30"/>
      <c r="B48" s="100"/>
      <c r="C48" s="100"/>
      <c r="D48" s="100"/>
      <c r="E48" s="102"/>
    </row>
    <row r="49" spans="1:5" ht="15.75">
      <c r="A49" s="110" t="s">
        <v>633</v>
      </c>
      <c r="B49" s="100"/>
      <c r="C49" s="100">
        <f>'BS GROUP'!F157</f>
        <v>51537211</v>
      </c>
      <c r="D49" s="100"/>
      <c r="E49" s="102">
        <v>54857142</v>
      </c>
    </row>
    <row r="50" spans="1:5" ht="15.75">
      <c r="A50" s="30"/>
      <c r="B50" s="100"/>
      <c r="C50" s="100"/>
      <c r="D50" s="100"/>
      <c r="E50" s="102"/>
    </row>
    <row r="51" spans="1:5" ht="15.75">
      <c r="A51" s="30"/>
      <c r="B51" s="100"/>
      <c r="C51" s="100"/>
      <c r="D51" s="100"/>
      <c r="E51" s="102"/>
    </row>
    <row r="52" spans="1:5" ht="15.75">
      <c r="A52" s="110" t="s">
        <v>634</v>
      </c>
      <c r="B52" s="100"/>
      <c r="C52" s="197"/>
      <c r="D52" s="100"/>
      <c r="E52" s="101"/>
    </row>
    <row r="53" spans="1:5" ht="15.75">
      <c r="A53" s="30" t="s">
        <v>565</v>
      </c>
      <c r="B53" s="100">
        <v>45325</v>
      </c>
      <c r="C53" s="100"/>
      <c r="D53" s="100">
        <v>45325</v>
      </c>
      <c r="E53" s="102"/>
    </row>
    <row r="54" spans="1:5" ht="15.75">
      <c r="A54" s="30" t="s">
        <v>917</v>
      </c>
      <c r="B54" s="245">
        <f>2342</f>
        <v>2342</v>
      </c>
      <c r="C54" s="100">
        <f>+'BS GROUP'!F192</f>
        <v>47667</v>
      </c>
      <c r="D54" s="100">
        <v>2342</v>
      </c>
      <c r="E54" s="102">
        <v>47667</v>
      </c>
    </row>
    <row r="55" spans="1:5" ht="15.75">
      <c r="A55" s="30"/>
      <c r="B55" s="245"/>
      <c r="C55" s="100"/>
      <c r="D55" s="245"/>
      <c r="E55" s="102"/>
    </row>
    <row r="56" spans="1:5" ht="15.75">
      <c r="A56" s="41" t="s">
        <v>918</v>
      </c>
      <c r="B56" s="273"/>
      <c r="C56" s="274">
        <f>SUM(C35:C55)</f>
        <v>95712503.05</v>
      </c>
      <c r="D56" s="274"/>
      <c r="E56" s="275">
        <f>SUM(E34:E55)</f>
        <v>98705743</v>
      </c>
    </row>
    <row r="57" spans="1:5" ht="16.5" thickBot="1">
      <c r="A57" s="29" t="s">
        <v>919</v>
      </c>
      <c r="B57" s="276"/>
      <c r="C57" s="277">
        <f>+C56+C31</f>
        <v>521652176.89000005</v>
      </c>
      <c r="D57" s="277"/>
      <c r="E57" s="278">
        <f>+E56+E31</f>
        <v>569944663</v>
      </c>
    </row>
    <row r="59" ht="15.75">
      <c r="A59" s="115"/>
    </row>
    <row r="60" spans="1:5" ht="15.75">
      <c r="A60" s="5"/>
      <c r="B60" s="5"/>
      <c r="C60" s="5"/>
      <c r="D60" s="5"/>
      <c r="E60" s="5"/>
    </row>
    <row r="61" spans="1:5" ht="15.75">
      <c r="A61" s="5"/>
      <c r="B61" s="5"/>
      <c r="C61" s="5"/>
      <c r="D61" s="5"/>
      <c r="E61" s="5"/>
    </row>
  </sheetData>
  <mergeCells count="3">
    <mergeCell ref="A1:E1"/>
    <mergeCell ref="B4:C4"/>
    <mergeCell ref="D4:E4"/>
  </mergeCells>
  <printOptions horizontalCentered="1"/>
  <pageMargins left="0.75" right="0.75" top="0.75" bottom="0.75" header="0.5" footer="0.5"/>
  <pageSetup fitToHeight="0" fitToWidth="1" horizontalDpi="600" verticalDpi="600" orientation="landscape" paperSize="9" scale="95" r:id="rId1"/>
  <rowBreaks count="1" manualBreakCount="1">
    <brk id="33"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E26"/>
  <sheetViews>
    <sheetView view="pageBreakPreview" zoomScale="60" workbookViewId="0" topLeftCell="A1">
      <selection activeCell="B27" sqref="B27"/>
    </sheetView>
  </sheetViews>
  <sheetFormatPr defaultColWidth="9.140625" defaultRowHeight="12.75"/>
  <cols>
    <col min="1" max="1" width="57.8515625" style="5" customWidth="1"/>
    <col min="2" max="3" width="18.28125" style="5" bestFit="1" customWidth="1"/>
    <col min="4" max="4" width="12.28125" style="5" bestFit="1" customWidth="1"/>
    <col min="5" max="5" width="2.140625" style="5" bestFit="1" customWidth="1"/>
    <col min="6" max="16384" width="9.140625" style="5" customWidth="1"/>
  </cols>
  <sheetData>
    <row r="1" spans="1:3" ht="15.75">
      <c r="A1" s="111"/>
      <c r="B1" s="111"/>
      <c r="C1" s="111"/>
    </row>
    <row r="2" spans="1:3" ht="15.75">
      <c r="A2" s="383" t="s">
        <v>453</v>
      </c>
      <c r="B2" s="383"/>
      <c r="C2" s="383"/>
    </row>
    <row r="3" spans="1:3" ht="15.75">
      <c r="A3" s="318"/>
      <c r="B3" s="318"/>
      <c r="C3" s="318"/>
    </row>
    <row r="4" spans="1:3" ht="16.5" thickBot="1">
      <c r="A4" s="111"/>
      <c r="B4" s="111"/>
      <c r="C4" s="327" t="s">
        <v>122</v>
      </c>
    </row>
    <row r="5" spans="1:3" ht="15.75">
      <c r="A5" s="261" t="s">
        <v>573</v>
      </c>
      <c r="B5" s="254" t="s">
        <v>783</v>
      </c>
      <c r="C5" s="255" t="s">
        <v>893</v>
      </c>
    </row>
    <row r="6" spans="1:3" ht="15.75">
      <c r="A6" s="262"/>
      <c r="B6" s="259"/>
      <c r="C6" s="263"/>
    </row>
    <row r="7" spans="1:3" ht="15.75">
      <c r="A7" s="264" t="s">
        <v>569</v>
      </c>
      <c r="B7" s="113"/>
      <c r="C7" s="112"/>
    </row>
    <row r="8" spans="1:3" ht="15.75">
      <c r="A8" s="75" t="s">
        <v>921</v>
      </c>
      <c r="B8" s="260">
        <f>+'BS GROUP'!F223</f>
        <v>3282840.5</v>
      </c>
      <c r="C8" s="265">
        <v>2283109</v>
      </c>
    </row>
    <row r="9" spans="1:3" ht="15.75">
      <c r="A9" s="75" t="s">
        <v>138</v>
      </c>
      <c r="B9" s="260">
        <f>+'BS GROUP'!F231</f>
        <v>18839487</v>
      </c>
      <c r="C9" s="265">
        <v>20118026</v>
      </c>
    </row>
    <row r="10" spans="1:3" ht="15.75">
      <c r="A10" s="75" t="s">
        <v>574</v>
      </c>
      <c r="B10" s="260">
        <f>+'BS GROUP'!F243</f>
        <v>156916219</v>
      </c>
      <c r="C10" s="265">
        <v>131463104</v>
      </c>
    </row>
    <row r="11" spans="1:3" ht="15.75">
      <c r="A11" s="75" t="s">
        <v>610</v>
      </c>
      <c r="B11" s="260">
        <f>+'BS GROUP'!F215</f>
        <v>2060741</v>
      </c>
      <c r="C11" s="265">
        <v>1225737</v>
      </c>
    </row>
    <row r="12" spans="1:5" ht="15.75">
      <c r="A12" s="75" t="s">
        <v>922</v>
      </c>
      <c r="B12" s="260">
        <f>+'BS GROUP'!F247</f>
        <v>144277904</v>
      </c>
      <c r="C12" s="265">
        <v>39798860</v>
      </c>
      <c r="E12" s="111"/>
    </row>
    <row r="13" spans="1:5" ht="15.75">
      <c r="A13" s="264" t="s">
        <v>923</v>
      </c>
      <c r="B13" s="341">
        <f>SUM(B8:B12)</f>
        <v>325377191.5</v>
      </c>
      <c r="C13" s="342">
        <f>SUM(C8:C12)</f>
        <v>194888836</v>
      </c>
      <c r="E13" s="111"/>
    </row>
    <row r="14" spans="1:5" ht="15.75">
      <c r="A14" s="264"/>
      <c r="B14" s="260"/>
      <c r="C14" s="265"/>
      <c r="E14" s="111"/>
    </row>
    <row r="15" spans="1:5" ht="15.75">
      <c r="A15" s="264" t="s">
        <v>567</v>
      </c>
      <c r="B15" s="260"/>
      <c r="C15" s="265"/>
      <c r="E15" s="111"/>
    </row>
    <row r="16" spans="1:5" ht="15.75">
      <c r="A16" s="114" t="s">
        <v>575</v>
      </c>
      <c r="B16" s="260">
        <f>+'BS GROUP'!F250</f>
        <v>163777000</v>
      </c>
      <c r="C16" s="265">
        <v>154814000</v>
      </c>
      <c r="E16" s="111"/>
    </row>
    <row r="17" spans="1:5" ht="15.75">
      <c r="A17" s="75" t="s">
        <v>576</v>
      </c>
      <c r="B17" s="260">
        <f>+'BS GROUP'!F251</f>
        <v>82886000</v>
      </c>
      <c r="C17" s="265">
        <v>69212000</v>
      </c>
      <c r="E17" s="111"/>
    </row>
    <row r="18" spans="1:5" ht="15.75">
      <c r="A18" s="264" t="s">
        <v>924</v>
      </c>
      <c r="B18" s="341">
        <f>SUM(B16:B17)</f>
        <v>246663000</v>
      </c>
      <c r="C18" s="342">
        <f>SUM(C16:C17)</f>
        <v>224026000</v>
      </c>
      <c r="E18" s="111"/>
    </row>
    <row r="19" spans="1:5" ht="15.75">
      <c r="A19" s="264"/>
      <c r="B19" s="260"/>
      <c r="C19" s="265"/>
      <c r="E19" s="111"/>
    </row>
    <row r="20" spans="1:5" ht="16.5" thickBot="1">
      <c r="A20" s="266" t="s">
        <v>919</v>
      </c>
      <c r="B20" s="267">
        <f>+B18+B13</f>
        <v>572040191.5</v>
      </c>
      <c r="C20" s="268">
        <f>+C18+C13</f>
        <v>418914836</v>
      </c>
      <c r="E20" s="111"/>
    </row>
    <row r="21" spans="1:5" ht="15.75">
      <c r="A21" s="257"/>
      <c r="B21" s="258"/>
      <c r="C21" s="258"/>
      <c r="E21" s="111"/>
    </row>
    <row r="22" spans="1:5" ht="15.75">
      <c r="A22" s="2" t="s">
        <v>139</v>
      </c>
      <c r="E22" s="111"/>
    </row>
    <row r="23" spans="1:5" ht="52.5" customHeight="1">
      <c r="A23" s="382" t="s">
        <v>140</v>
      </c>
      <c r="B23" s="382"/>
      <c r="C23" s="382"/>
      <c r="E23" s="111"/>
    </row>
    <row r="24" spans="1:5" ht="15.75">
      <c r="A24" s="177"/>
      <c r="B24" s="177"/>
      <c r="C24" s="177"/>
      <c r="E24" s="111"/>
    </row>
    <row r="25" ht="15.75">
      <c r="E25" s="111"/>
    </row>
    <row r="26" ht="15.75">
      <c r="E26" s="111"/>
    </row>
    <row r="38" ht="15.75" hidden="1"/>
  </sheetData>
  <mergeCells count="2">
    <mergeCell ref="A23:C23"/>
    <mergeCell ref="A2:C2"/>
  </mergeCells>
  <printOptions horizontalCentered="1"/>
  <pageMargins left="0.75" right="0.75" top="1" bottom="1" header="0.5" footer="0.5"/>
  <pageSetup fitToHeight="0"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2:E26"/>
  <sheetViews>
    <sheetView view="pageBreakPreview" zoomScale="60" workbookViewId="0" topLeftCell="A1">
      <selection activeCell="A6" sqref="A6"/>
    </sheetView>
  </sheetViews>
  <sheetFormatPr defaultColWidth="9.140625" defaultRowHeight="12.75"/>
  <cols>
    <col min="1" max="1" width="39.421875" style="63" bestFit="1" customWidth="1"/>
    <col min="2" max="3" width="18.28125" style="63" bestFit="1" customWidth="1"/>
    <col min="4" max="4" width="9.140625" style="63" customWidth="1"/>
    <col min="5" max="5" width="2.140625" style="63" bestFit="1" customWidth="1"/>
    <col min="6" max="16384" width="9.140625" style="63" customWidth="1"/>
  </cols>
  <sheetData>
    <row r="2" spans="1:4" ht="15.75">
      <c r="A2" s="358" t="s">
        <v>454</v>
      </c>
      <c r="B2" s="358"/>
      <c r="C2" s="358"/>
      <c r="D2" s="358"/>
    </row>
    <row r="3" spans="1:4" ht="15.75">
      <c r="A3" s="27"/>
      <c r="B3" s="27"/>
      <c r="C3" s="27"/>
      <c r="D3" s="27"/>
    </row>
    <row r="4" spans="1:4" ht="16.5" thickBot="1">
      <c r="A4" s="27"/>
      <c r="B4" s="27"/>
      <c r="C4" s="316" t="s">
        <v>122</v>
      </c>
      <c r="D4" s="27"/>
    </row>
    <row r="5" spans="1:3" s="249" customFormat="1" ht="31.5">
      <c r="A5" s="253" t="s">
        <v>10</v>
      </c>
      <c r="B5" s="254" t="s">
        <v>800</v>
      </c>
      <c r="C5" s="255" t="s">
        <v>784</v>
      </c>
    </row>
    <row r="6" spans="1:3" ht="15.75">
      <c r="A6" s="8"/>
      <c r="B6" s="9"/>
      <c r="C6" s="10"/>
    </row>
    <row r="7" spans="1:3" ht="15.75">
      <c r="A7" s="8" t="s">
        <v>543</v>
      </c>
      <c r="B7" s="100">
        <f>+'P&amp;L GROUP'!F5</f>
        <v>562500000</v>
      </c>
      <c r="C7" s="101">
        <v>605000000</v>
      </c>
    </row>
    <row r="8" spans="1:3" ht="15.75">
      <c r="A8" s="8"/>
      <c r="B8" s="100"/>
      <c r="C8" s="101"/>
    </row>
    <row r="9" spans="1:3" ht="16.5" thickBot="1">
      <c r="A9" s="256" t="s">
        <v>774</v>
      </c>
      <c r="B9" s="240">
        <f>SUM(B7:B8)</f>
        <v>562500000</v>
      </c>
      <c r="C9" s="241">
        <f>SUM(C7:C8)</f>
        <v>605000000</v>
      </c>
    </row>
    <row r="12" ht="15.75">
      <c r="E12" s="287"/>
    </row>
    <row r="13" ht="15.75">
      <c r="E13" s="287"/>
    </row>
    <row r="14" ht="15.75">
      <c r="E14" s="287"/>
    </row>
    <row r="15" ht="15.75">
      <c r="E15" s="287"/>
    </row>
    <row r="16" ht="15.75">
      <c r="E16" s="287"/>
    </row>
    <row r="17" ht="15.75">
      <c r="E17" s="287"/>
    </row>
    <row r="18" ht="15.75">
      <c r="E18" s="287"/>
    </row>
    <row r="19" ht="15.75">
      <c r="E19" s="287"/>
    </row>
    <row r="20" ht="15.75">
      <c r="E20" s="287"/>
    </row>
    <row r="21" ht="15.75">
      <c r="E21" s="287"/>
    </row>
    <row r="22" ht="15.75">
      <c r="E22" s="287"/>
    </row>
    <row r="23" ht="15.75">
      <c r="E23" s="287"/>
    </row>
    <row r="24" ht="15.75">
      <c r="E24" s="287"/>
    </row>
    <row r="25" ht="15.75">
      <c r="E25" s="287"/>
    </row>
    <row r="26" ht="15.75">
      <c r="E26" s="287"/>
    </row>
    <row r="38" ht="15.75" hidden="1"/>
  </sheetData>
  <mergeCells count="1">
    <mergeCell ref="A2:D2"/>
  </mergeCells>
  <printOptions horizontalCentered="1"/>
  <pageMargins left="0.75" right="0.75" top="1" bottom="1" header="0.5" footer="0.5"/>
  <pageSetup fitToHeight="0"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E28"/>
  <sheetViews>
    <sheetView view="pageBreakPreview" zoomScale="60" workbookViewId="0" topLeftCell="A1">
      <selection activeCell="A6" sqref="A6"/>
    </sheetView>
  </sheetViews>
  <sheetFormatPr defaultColWidth="9.140625" defaultRowHeight="12.75"/>
  <cols>
    <col min="1" max="1" width="29.57421875" style="63" customWidth="1"/>
    <col min="2" max="2" width="17.7109375" style="63" bestFit="1" customWidth="1"/>
    <col min="3" max="3" width="18.28125" style="63" bestFit="1" customWidth="1"/>
    <col min="4" max="4" width="9.140625" style="63" customWidth="1"/>
    <col min="5" max="5" width="2.140625" style="63" bestFit="1" customWidth="1"/>
    <col min="6" max="16384" width="9.140625" style="63" customWidth="1"/>
  </cols>
  <sheetData>
    <row r="1" spans="1:3" ht="15.75">
      <c r="A1" s="358" t="s">
        <v>455</v>
      </c>
      <c r="B1" s="358"/>
      <c r="C1" s="358"/>
    </row>
    <row r="2" spans="1:3" ht="15.75">
      <c r="A2" s="27"/>
      <c r="B2" s="27"/>
      <c r="C2" s="27"/>
    </row>
    <row r="3" ht="16.5" thickBot="1">
      <c r="C3" s="109" t="s">
        <v>122</v>
      </c>
    </row>
    <row r="4" spans="1:3" ht="31.5">
      <c r="A4" s="248" t="s">
        <v>10</v>
      </c>
      <c r="B4" s="6" t="s">
        <v>800</v>
      </c>
      <c r="C4" s="7" t="s">
        <v>784</v>
      </c>
    </row>
    <row r="5" spans="1:3" ht="15.75">
      <c r="A5" s="8"/>
      <c r="B5" s="9"/>
      <c r="C5" s="10"/>
    </row>
    <row r="6" spans="1:3" ht="15.75">
      <c r="A6" s="8" t="s">
        <v>787</v>
      </c>
      <c r="B6" s="100">
        <f>+'P&amp;L GROUP'!F34-1</f>
        <v>346426824.5</v>
      </c>
      <c r="C6" s="101">
        <f>345671762+1</f>
        <v>345671763</v>
      </c>
    </row>
    <row r="7" spans="1:3" ht="15.75">
      <c r="A7" s="8" t="s">
        <v>438</v>
      </c>
      <c r="B7" s="100">
        <f>'P&amp;L GROUP'!C66</f>
        <v>483601091</v>
      </c>
      <c r="C7" s="12">
        <v>317165522</v>
      </c>
    </row>
    <row r="8" spans="1:3" ht="15.75">
      <c r="A8" s="8"/>
      <c r="B8" s="100"/>
      <c r="C8" s="101"/>
    </row>
    <row r="9" spans="1:3" ht="15.75">
      <c r="A9" s="13"/>
      <c r="B9" s="245"/>
      <c r="C9" s="237"/>
    </row>
    <row r="10" spans="1:3" ht="16.5" thickBot="1">
      <c r="A10" s="52" t="s">
        <v>374</v>
      </c>
      <c r="B10" s="238">
        <f>SUM(B5:B9)</f>
        <v>830027915.5</v>
      </c>
      <c r="C10" s="239">
        <f>SUM(C6:C9)</f>
        <v>662837285</v>
      </c>
    </row>
    <row r="14" ht="15.75">
      <c r="E14" s="287"/>
    </row>
    <row r="15" ht="15.75">
      <c r="E15" s="287"/>
    </row>
    <row r="16" ht="15.75">
      <c r="E16" s="287"/>
    </row>
    <row r="17" ht="15.75">
      <c r="E17" s="287"/>
    </row>
    <row r="18" ht="15.75">
      <c r="E18" s="287"/>
    </row>
    <row r="19" ht="15.75">
      <c r="E19" s="287"/>
    </row>
    <row r="20" ht="15.75">
      <c r="E20" s="287"/>
    </row>
    <row r="21" ht="15.75">
      <c r="E21" s="287"/>
    </row>
    <row r="22" ht="15.75">
      <c r="E22" s="287"/>
    </row>
    <row r="23" ht="15.75">
      <c r="E23" s="287"/>
    </row>
    <row r="24" ht="15.75">
      <c r="E24" s="287"/>
    </row>
    <row r="25" ht="15.75">
      <c r="E25" s="287"/>
    </row>
    <row r="26" ht="15.75">
      <c r="E26" s="287"/>
    </row>
    <row r="27" ht="15.75">
      <c r="E27" s="287"/>
    </row>
    <row r="28" ht="15.75">
      <c r="E28" s="287"/>
    </row>
    <row r="38" ht="15.75" hidden="1"/>
  </sheetData>
  <mergeCells count="1">
    <mergeCell ref="A1:C1"/>
  </mergeCells>
  <printOptions horizontalCentered="1"/>
  <pageMargins left="0.75" right="0.75" top="1" bottom="1" header="0.5" footer="0.5"/>
  <pageSetup fitToHeight="0"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E29"/>
  <sheetViews>
    <sheetView view="pageBreakPreview" zoomScale="60" workbookViewId="0" topLeftCell="A1">
      <selection activeCell="A6" sqref="A6"/>
    </sheetView>
  </sheetViews>
  <sheetFormatPr defaultColWidth="9.140625" defaultRowHeight="12.75"/>
  <cols>
    <col min="1" max="1" width="42.28125" style="63" customWidth="1"/>
    <col min="2" max="3" width="12.7109375" style="63" customWidth="1"/>
    <col min="4" max="4" width="9.140625" style="63" customWidth="1"/>
    <col min="5" max="5" width="2.140625" style="63" bestFit="1" customWidth="1"/>
    <col min="6" max="16384" width="9.140625" style="63" customWidth="1"/>
  </cols>
  <sheetData>
    <row r="1" spans="1:3" ht="15.75">
      <c r="A1" s="358" t="s">
        <v>456</v>
      </c>
      <c r="B1" s="358"/>
      <c r="C1" s="358"/>
    </row>
    <row r="2" spans="1:3" ht="15.75">
      <c r="A2" s="27"/>
      <c r="B2" s="27"/>
      <c r="C2" s="27"/>
    </row>
    <row r="3" ht="16.5" thickBot="1">
      <c r="C3" s="109" t="s">
        <v>122</v>
      </c>
    </row>
    <row r="4" spans="1:3" ht="31.5">
      <c r="A4" s="22" t="s">
        <v>10</v>
      </c>
      <c r="B4" s="6" t="s">
        <v>800</v>
      </c>
      <c r="C4" s="97" t="s">
        <v>784</v>
      </c>
    </row>
    <row r="5" spans="1:3" ht="15.75">
      <c r="A5" s="30"/>
      <c r="B5" s="106"/>
      <c r="C5" s="107"/>
    </row>
    <row r="6" spans="1:3" ht="15.75">
      <c r="A6" s="30" t="s">
        <v>457</v>
      </c>
      <c r="B6" s="11">
        <f>B20+B21</f>
        <v>3371105</v>
      </c>
      <c r="C6" s="101">
        <v>0</v>
      </c>
    </row>
    <row r="7" spans="1:3" ht="15.75">
      <c r="A7" s="30" t="s">
        <v>450</v>
      </c>
      <c r="B7" s="11">
        <f>B22+B23</f>
        <v>13113188</v>
      </c>
      <c r="C7" s="1">
        <v>20148226</v>
      </c>
    </row>
    <row r="8" spans="1:3" ht="15.75">
      <c r="A8" s="30" t="s">
        <v>442</v>
      </c>
      <c r="B8" s="11">
        <f>'P&amp;L GROUP'!F42</f>
        <v>183952</v>
      </c>
      <c r="C8" s="1">
        <v>258330</v>
      </c>
    </row>
    <row r="9" spans="1:3" ht="15.75">
      <c r="A9" s="30" t="s">
        <v>443</v>
      </c>
      <c r="B9" s="11">
        <f>'P&amp;L GROUP'!F43</f>
        <v>1465994</v>
      </c>
      <c r="C9" s="1">
        <v>1684614</v>
      </c>
    </row>
    <row r="10" spans="1:3" ht="15.75">
      <c r="A10" s="32"/>
      <c r="B10" s="33"/>
      <c r="C10" s="77"/>
    </row>
    <row r="11" spans="1:3" ht="16.5" thickBot="1">
      <c r="A11" s="108" t="s">
        <v>566</v>
      </c>
      <c r="B11" s="95">
        <f>SUM(B6:B10)</f>
        <v>18134239</v>
      </c>
      <c r="C11" s="310">
        <f>SUM(C6:C10)</f>
        <v>22091170</v>
      </c>
    </row>
    <row r="12" spans="1:3" ht="15.75">
      <c r="A12" s="5"/>
      <c r="B12" s="5"/>
      <c r="C12" s="5"/>
    </row>
    <row r="15" ht="15.75">
      <c r="E15" s="287"/>
    </row>
    <row r="16" spans="1:5" ht="15.75">
      <c r="A16" s="63" t="s">
        <v>449</v>
      </c>
      <c r="E16" s="287"/>
    </row>
    <row r="17" ht="16.5" thickBot="1">
      <c r="E17" s="287"/>
    </row>
    <row r="18" spans="1:5" ht="31.5">
      <c r="A18" s="311"/>
      <c r="B18" s="6" t="s">
        <v>800</v>
      </c>
      <c r="C18" s="7" t="s">
        <v>784</v>
      </c>
      <c r="E18" s="287"/>
    </row>
    <row r="19" spans="1:5" ht="15.75">
      <c r="A19" s="25" t="s">
        <v>444</v>
      </c>
      <c r="B19" s="9"/>
      <c r="C19" s="10"/>
      <c r="E19" s="287"/>
    </row>
    <row r="20" spans="1:5" ht="15.75">
      <c r="A20" s="8" t="s">
        <v>445</v>
      </c>
      <c r="B20" s="100">
        <v>2437778</v>
      </c>
      <c r="C20" s="101">
        <v>0</v>
      </c>
      <c r="E20" s="287"/>
    </row>
    <row r="21" spans="1:5" ht="15.75">
      <c r="A21" s="8" t="s">
        <v>447</v>
      </c>
      <c r="B21" s="100">
        <f>666660+266667</f>
        <v>933327</v>
      </c>
      <c r="C21" s="101"/>
      <c r="E21" s="287"/>
    </row>
    <row r="22" spans="1:5" ht="15.75">
      <c r="A22" s="8" t="s">
        <v>446</v>
      </c>
      <c r="B22" s="100">
        <f>14686093-B20</f>
        <v>12248315</v>
      </c>
      <c r="C22" s="101"/>
      <c r="E22" s="287"/>
    </row>
    <row r="23" spans="1:5" ht="15.75">
      <c r="A23" s="8" t="s">
        <v>448</v>
      </c>
      <c r="B23" s="100">
        <f>2164650-1299777</f>
        <v>864873</v>
      </c>
      <c r="C23" s="101"/>
      <c r="E23" s="287"/>
    </row>
    <row r="24" spans="1:5" ht="16.5" thickBot="1">
      <c r="A24" s="312"/>
      <c r="B24" s="250">
        <f>SUM(B20:B23)</f>
        <v>16484293</v>
      </c>
      <c r="C24" s="313"/>
      <c r="E24" s="287"/>
    </row>
    <row r="25" spans="2:5" ht="15.75">
      <c r="B25" s="309"/>
      <c r="C25" s="309"/>
      <c r="E25" s="287"/>
    </row>
    <row r="26" spans="2:5" ht="15.75">
      <c r="B26" s="309"/>
      <c r="C26" s="309"/>
      <c r="E26" s="287"/>
    </row>
    <row r="27" spans="2:5" ht="15.75">
      <c r="B27" s="309"/>
      <c r="C27" s="309"/>
      <c r="E27" s="287"/>
    </row>
    <row r="28" ht="15.75">
      <c r="E28" s="287"/>
    </row>
    <row r="29" ht="15.75">
      <c r="E29" s="287"/>
    </row>
    <row r="38" ht="15.75" hidden="1"/>
  </sheetData>
  <mergeCells count="1">
    <mergeCell ref="A1:C1"/>
  </mergeCells>
  <printOptions horizontalCentered="1"/>
  <pageMargins left="0.75" right="0.75" top="1" bottom="1" header="0.5" footer="0.5"/>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V229"/>
  <sheetViews>
    <sheetView view="pageBreakPreview" zoomScale="60" workbookViewId="0" topLeftCell="A127">
      <selection activeCell="C152" sqref="C152"/>
    </sheetView>
  </sheetViews>
  <sheetFormatPr defaultColWidth="9.140625" defaultRowHeight="12.75"/>
  <cols>
    <col min="1" max="1" width="108.28125" style="180" bestFit="1" customWidth="1"/>
    <col min="2" max="2" width="11.28125" style="180" bestFit="1" customWidth="1"/>
    <col min="3" max="3" width="18.28125" style="180" bestFit="1" customWidth="1"/>
    <col min="4" max="4" width="11.28125" style="180" bestFit="1" customWidth="1"/>
    <col min="5" max="5" width="16.8515625" style="180" bestFit="1" customWidth="1"/>
    <col min="6" max="6" width="17.7109375" style="180" bestFit="1" customWidth="1"/>
    <col min="7" max="7" width="9.140625" style="180" customWidth="1"/>
    <col min="8" max="8" width="13.140625" style="180" bestFit="1" customWidth="1"/>
    <col min="9" max="16384" width="9.140625" style="180" customWidth="1"/>
  </cols>
  <sheetData>
    <row r="1" spans="2:6" ht="15.75">
      <c r="B1" s="159" t="s">
        <v>408</v>
      </c>
      <c r="C1" s="159" t="s">
        <v>222</v>
      </c>
      <c r="D1" s="159" t="s">
        <v>408</v>
      </c>
      <c r="E1" s="159" t="s">
        <v>815</v>
      </c>
      <c r="F1" s="159" t="s">
        <v>374</v>
      </c>
    </row>
    <row r="2" spans="2:6" ht="15.75">
      <c r="B2" s="159"/>
      <c r="C2" s="159"/>
      <c r="D2" s="159"/>
      <c r="E2" s="159"/>
      <c r="F2" s="159"/>
    </row>
    <row r="3" spans="1:5" ht="15.75">
      <c r="A3" s="357" t="s">
        <v>544</v>
      </c>
      <c r="B3" s="357"/>
      <c r="C3" s="357"/>
      <c r="D3" s="181"/>
      <c r="E3" s="181"/>
    </row>
    <row r="4" spans="2:6" ht="15.75">
      <c r="B4" s="159"/>
      <c r="C4" s="159"/>
      <c r="D4" s="159"/>
      <c r="E4" s="159"/>
      <c r="F4" s="159"/>
    </row>
    <row r="5" spans="1:6" ht="15.75">
      <c r="A5" s="180" t="s">
        <v>543</v>
      </c>
      <c r="B5" s="182">
        <v>295</v>
      </c>
      <c r="C5" s="180">
        <f>-'GROUPINGS FINAL'!E155</f>
        <v>562500000</v>
      </c>
      <c r="F5" s="180">
        <f>SUM(C5:E5)</f>
        <v>562500000</v>
      </c>
    </row>
    <row r="7" spans="1:5" ht="15.75">
      <c r="A7" s="357" t="s">
        <v>545</v>
      </c>
      <c r="B7" s="357"/>
      <c r="C7" s="357"/>
      <c r="D7" s="181"/>
      <c r="E7" s="181"/>
    </row>
    <row r="9" spans="1:6" ht="15.75">
      <c r="A9" s="180" t="s">
        <v>546</v>
      </c>
      <c r="B9" s="54">
        <v>255</v>
      </c>
      <c r="C9" s="180">
        <f>-'GROUPINGS FINAL'!E141</f>
        <v>144950</v>
      </c>
      <c r="F9" s="180">
        <f aca="true" t="shared" si="0" ref="F9:F21">SUM(C9:E9)</f>
        <v>144950</v>
      </c>
    </row>
    <row r="10" spans="1:6" ht="15.75">
      <c r="A10" s="180" t="s">
        <v>547</v>
      </c>
      <c r="B10" s="54">
        <v>304</v>
      </c>
      <c r="C10" s="180">
        <f>-'GROUPINGS FINAL'!E157</f>
        <v>4253350</v>
      </c>
      <c r="F10" s="180">
        <f t="shared" si="0"/>
        <v>4253350</v>
      </c>
    </row>
    <row r="11" spans="1:6" ht="15.75">
      <c r="A11" s="180" t="s">
        <v>548</v>
      </c>
      <c r="B11" s="54">
        <v>305</v>
      </c>
      <c r="C11" s="180">
        <f>-'GROUPINGS FINAL'!E158</f>
        <v>50338641</v>
      </c>
      <c r="F11" s="180">
        <f t="shared" si="0"/>
        <v>50338641</v>
      </c>
    </row>
    <row r="12" spans="1:6" ht="15.75">
      <c r="A12" s="180" t="s">
        <v>549</v>
      </c>
      <c r="B12" s="54">
        <v>307</v>
      </c>
      <c r="C12" s="180">
        <f>-'GROUPINGS FINAL'!E159</f>
        <v>17000</v>
      </c>
      <c r="F12" s="180">
        <f t="shared" si="0"/>
        <v>17000</v>
      </c>
    </row>
    <row r="13" spans="1:6" ht="15.75">
      <c r="A13" s="180" t="s">
        <v>551</v>
      </c>
      <c r="B13" s="54">
        <v>310</v>
      </c>
      <c r="C13" s="180">
        <f>-'GROUPINGS FINAL'!E160</f>
        <v>18900850</v>
      </c>
      <c r="F13" s="180">
        <f t="shared" si="0"/>
        <v>18900850</v>
      </c>
    </row>
    <row r="14" spans="1:6" ht="15.75">
      <c r="A14" s="183" t="s">
        <v>552</v>
      </c>
      <c r="B14" s="54">
        <v>313</v>
      </c>
      <c r="C14" s="180">
        <f>-'GROUPINGS FINAL'!E161</f>
        <v>17885</v>
      </c>
      <c r="F14" s="180">
        <f t="shared" si="0"/>
        <v>17885</v>
      </c>
    </row>
    <row r="15" spans="1:6" ht="15.75">
      <c r="A15" s="180" t="s">
        <v>553</v>
      </c>
      <c r="B15" s="54">
        <v>315</v>
      </c>
      <c r="C15" s="180">
        <f>-'GROUPINGS FINAL'!E162</f>
        <v>6439790</v>
      </c>
      <c r="F15" s="180">
        <f t="shared" si="0"/>
        <v>6439790</v>
      </c>
    </row>
    <row r="16" spans="1:6" ht="15.75">
      <c r="A16" s="180" t="s">
        <v>554</v>
      </c>
      <c r="B16" s="54">
        <v>317</v>
      </c>
      <c r="C16" s="180">
        <f>-'GROUPINGS FINAL'!E163</f>
        <v>78480561</v>
      </c>
      <c r="F16" s="180">
        <f t="shared" si="0"/>
        <v>78480561</v>
      </c>
    </row>
    <row r="17" spans="1:6" ht="15.75">
      <c r="A17" s="180" t="s">
        <v>555</v>
      </c>
      <c r="B17" s="54">
        <v>320</v>
      </c>
      <c r="C17" s="180">
        <f>-'GROUPINGS FINAL'!E164</f>
        <v>43150805</v>
      </c>
      <c r="F17" s="180">
        <f t="shared" si="0"/>
        <v>43150805</v>
      </c>
    </row>
    <row r="18" spans="1:6" ht="15.75">
      <c r="A18" s="180" t="s">
        <v>556</v>
      </c>
      <c r="B18" s="54">
        <v>321</v>
      </c>
      <c r="C18" s="180">
        <f>-'GROUPINGS FINAL'!E165</f>
        <v>2624400</v>
      </c>
      <c r="F18" s="180">
        <f t="shared" si="0"/>
        <v>2624400</v>
      </c>
    </row>
    <row r="19" spans="1:6" ht="15.75">
      <c r="A19" s="180" t="s">
        <v>557</v>
      </c>
      <c r="B19" s="54">
        <v>322</v>
      </c>
      <c r="C19" s="180">
        <f>-'GROUPINGS FINAL'!E166</f>
        <v>19464395.5</v>
      </c>
      <c r="F19" s="180">
        <f t="shared" si="0"/>
        <v>19464395.5</v>
      </c>
    </row>
    <row r="20" spans="1:6" ht="15.75">
      <c r="A20" s="180" t="s">
        <v>558</v>
      </c>
      <c r="B20" s="54">
        <v>339</v>
      </c>
      <c r="C20" s="180">
        <f>-'GROUPINGS FINAL'!E170</f>
        <v>3247575</v>
      </c>
      <c r="F20" s="180">
        <f t="shared" si="0"/>
        <v>3247575</v>
      </c>
    </row>
    <row r="21" spans="1:6" ht="15.75">
      <c r="A21" s="180" t="s">
        <v>559</v>
      </c>
      <c r="B21" s="54">
        <v>342</v>
      </c>
      <c r="C21" s="180">
        <f>-'GROUPINGS FINAL'!E171</f>
        <v>31401900</v>
      </c>
      <c r="F21" s="180">
        <f t="shared" si="0"/>
        <v>31401900</v>
      </c>
    </row>
    <row r="22" spans="1:6" ht="15.75">
      <c r="A22" s="180" t="s">
        <v>591</v>
      </c>
      <c r="B22" s="54">
        <v>348</v>
      </c>
      <c r="F22" s="180">
        <v>-8994512</v>
      </c>
    </row>
    <row r="23" spans="1:6" ht="15.75">
      <c r="A23" s="180" t="s">
        <v>560</v>
      </c>
      <c r="B23" s="54">
        <v>375</v>
      </c>
      <c r="C23" s="180">
        <f>-'GROUPINGS FINAL'!E182</f>
        <v>14407650</v>
      </c>
      <c r="F23" s="180">
        <f aca="true" t="shared" si="1" ref="F23:F32">SUM(C23:E23)</f>
        <v>14407650</v>
      </c>
    </row>
    <row r="24" spans="1:6" ht="15.75">
      <c r="A24" s="180" t="s">
        <v>561</v>
      </c>
      <c r="B24" s="54">
        <v>377</v>
      </c>
      <c r="C24" s="180">
        <f>-'GROUPINGS FINAL'!E183</f>
        <v>275110</v>
      </c>
      <c r="F24" s="180">
        <f t="shared" si="1"/>
        <v>275110</v>
      </c>
    </row>
    <row r="25" spans="1:6" ht="15.75">
      <c r="A25" s="180" t="s">
        <v>562</v>
      </c>
      <c r="B25" s="54">
        <v>380</v>
      </c>
      <c r="C25" s="180">
        <f>-'GROUPINGS FINAL'!E184</f>
        <v>227470</v>
      </c>
      <c r="F25" s="180">
        <f t="shared" si="1"/>
        <v>227470</v>
      </c>
    </row>
    <row r="26" spans="1:6" ht="15.75">
      <c r="A26" s="180" t="s">
        <v>563</v>
      </c>
      <c r="B26" s="54">
        <v>388</v>
      </c>
      <c r="C26" s="180">
        <f>-'GROUPINGS FINAL'!E186</f>
        <v>912570</v>
      </c>
      <c r="F26" s="180">
        <f t="shared" si="1"/>
        <v>912570</v>
      </c>
    </row>
    <row r="27" spans="1:6" ht="15.75">
      <c r="A27" s="180" t="s">
        <v>564</v>
      </c>
      <c r="B27" s="54">
        <v>412</v>
      </c>
      <c r="C27" s="180">
        <f>-'GROUPINGS FINAL'!E195</f>
        <v>24402190</v>
      </c>
      <c r="F27" s="180">
        <f t="shared" si="1"/>
        <v>24402190</v>
      </c>
    </row>
    <row r="28" spans="1:6" ht="15.75">
      <c r="A28" s="180" t="s">
        <v>578</v>
      </c>
      <c r="B28" s="54">
        <v>575</v>
      </c>
      <c r="C28" s="180">
        <f>-'GROUPINGS FINAL'!E252</f>
        <v>11803600</v>
      </c>
      <c r="F28" s="180">
        <f t="shared" si="1"/>
        <v>11803600</v>
      </c>
    </row>
    <row r="29" spans="1:6" ht="15.75">
      <c r="A29" s="180" t="s">
        <v>579</v>
      </c>
      <c r="B29" s="54">
        <v>576</v>
      </c>
      <c r="C29" s="180">
        <f>-'GROUPINGS FINAL'!E253</f>
        <v>16394230</v>
      </c>
      <c r="F29" s="180">
        <f t="shared" si="1"/>
        <v>16394230</v>
      </c>
    </row>
    <row r="30" spans="1:6" ht="15.75">
      <c r="A30" s="180" t="s">
        <v>580</v>
      </c>
      <c r="B30" s="54">
        <v>577</v>
      </c>
      <c r="C30" s="180">
        <f>-'GROUPINGS FINAL'!E254</f>
        <v>26845135</v>
      </c>
      <c r="F30" s="180">
        <f t="shared" si="1"/>
        <v>26845135</v>
      </c>
    </row>
    <row r="31" spans="1:6" ht="15.75">
      <c r="A31" s="180" t="s">
        <v>581</v>
      </c>
      <c r="B31" s="54">
        <v>706</v>
      </c>
      <c r="C31" s="180">
        <f>-'GROUPINGS FINAL'!E286</f>
        <v>83280</v>
      </c>
      <c r="F31" s="180">
        <f t="shared" si="1"/>
        <v>83280</v>
      </c>
    </row>
    <row r="32" spans="1:6" ht="15.75">
      <c r="A32" s="180" t="s">
        <v>582</v>
      </c>
      <c r="B32" s="54">
        <v>1685</v>
      </c>
      <c r="C32" s="180">
        <f>-'GROUPINGS FINAL'!E388</f>
        <v>1588000</v>
      </c>
      <c r="F32" s="180">
        <f t="shared" si="1"/>
        <v>1588000</v>
      </c>
    </row>
    <row r="34" spans="3:6" ht="15.75">
      <c r="C34" s="184">
        <f>SUM(C9:C32)</f>
        <v>355421337.5</v>
      </c>
      <c r="D34" s="184"/>
      <c r="E34" s="184"/>
      <c r="F34" s="180">
        <f>SUM(F9:F32)</f>
        <v>346426825.5</v>
      </c>
    </row>
    <row r="36" ht="15.75">
      <c r="A36" s="184" t="s">
        <v>583</v>
      </c>
    </row>
    <row r="38" spans="1:6" ht="15.75">
      <c r="A38" s="180" t="s">
        <v>584</v>
      </c>
      <c r="B38" s="182">
        <v>365</v>
      </c>
      <c r="C38" s="180">
        <f>-'GROUPINGS FINAL'!E181</f>
        <v>16484293</v>
      </c>
      <c r="F38" s="180">
        <f>SUM(C38:E38)</f>
        <v>16484293</v>
      </c>
    </row>
    <row r="40" ht="15.75">
      <c r="A40" s="184" t="s">
        <v>585</v>
      </c>
    </row>
    <row r="42" spans="1:6" ht="15.75">
      <c r="A42" s="180" t="s">
        <v>586</v>
      </c>
      <c r="B42" s="182">
        <v>361</v>
      </c>
      <c r="C42" s="180">
        <f>-'GROUPINGS FINAL'!E178</f>
        <v>183952</v>
      </c>
      <c r="F42" s="180">
        <f>SUM(C42:E42)</f>
        <v>183952</v>
      </c>
    </row>
    <row r="43" spans="1:6" ht="15.75">
      <c r="A43" s="180" t="s">
        <v>587</v>
      </c>
      <c r="B43" s="182">
        <v>363</v>
      </c>
      <c r="C43" s="180">
        <f>-'GROUPINGS FINAL'!E180</f>
        <v>1465994</v>
      </c>
      <c r="F43" s="180">
        <f>SUM(C43:E43)</f>
        <v>1465994</v>
      </c>
    </row>
    <row r="45" spans="3:6" ht="15.75">
      <c r="C45" s="184">
        <f>SUM(C42:C43)</f>
        <v>1649946</v>
      </c>
      <c r="D45" s="184"/>
      <c r="E45" s="184"/>
      <c r="F45" s="180">
        <f>SUM(F42:F44)</f>
        <v>1649946</v>
      </c>
    </row>
    <row r="47" spans="1:5" ht="15.75">
      <c r="A47" s="357" t="s">
        <v>588</v>
      </c>
      <c r="B47" s="357"/>
      <c r="C47" s="357"/>
      <c r="D47" s="181"/>
      <c r="E47" s="181"/>
    </row>
    <row r="49" spans="1:6" ht="15.75">
      <c r="A49" s="180" t="s">
        <v>589</v>
      </c>
      <c r="B49" s="182">
        <v>355</v>
      </c>
      <c r="C49" s="180">
        <f>-'GROUPINGS FINAL'!E176</f>
        <v>6851655.7</v>
      </c>
      <c r="D49" s="182">
        <v>358</v>
      </c>
      <c r="E49" s="180">
        <f>-'GROUPINGS FINAL'!E177</f>
        <v>23825</v>
      </c>
      <c r="F49" s="180">
        <f>+E49+C49</f>
        <v>6875480.7</v>
      </c>
    </row>
    <row r="50" spans="1:6" ht="15.75">
      <c r="A50" s="180" t="s">
        <v>801</v>
      </c>
      <c r="B50" s="182">
        <v>1737</v>
      </c>
      <c r="C50" s="180">
        <f>-'GROUPINGS FINAL'!E405</f>
        <v>411439</v>
      </c>
      <c r="F50" s="180">
        <f>+E50+C50</f>
        <v>411439</v>
      </c>
    </row>
    <row r="52" spans="3:6" ht="15.75">
      <c r="C52" s="184">
        <f>SUM(C49:C51)</f>
        <v>7263094.7</v>
      </c>
      <c r="D52" s="184"/>
      <c r="E52" s="184">
        <f>SUM(E49:E51)</f>
        <v>23825</v>
      </c>
      <c r="F52" s="180">
        <f>SUM(F49:F51)</f>
        <v>7286919.7</v>
      </c>
    </row>
    <row r="54" spans="1:5" ht="15.75">
      <c r="A54" s="355" t="s">
        <v>926</v>
      </c>
      <c r="B54" s="355"/>
      <c r="C54" s="355"/>
      <c r="D54" s="185"/>
      <c r="E54" s="185"/>
    </row>
    <row r="55" spans="1:5" ht="15.75">
      <c r="A55" s="184" t="s">
        <v>496</v>
      </c>
      <c r="B55" s="159" t="s">
        <v>408</v>
      </c>
      <c r="C55" s="159" t="s">
        <v>222</v>
      </c>
      <c r="D55" s="159"/>
      <c r="E55" s="159"/>
    </row>
    <row r="56" spans="1:6" ht="15.75">
      <c r="A56" s="184" t="s">
        <v>497</v>
      </c>
      <c r="B56" s="186">
        <v>1728</v>
      </c>
      <c r="C56" s="187">
        <f>+'GROUPINGS FINAL'!E397</f>
        <v>18343232</v>
      </c>
      <c r="D56" s="187"/>
      <c r="E56" s="187"/>
      <c r="F56" s="180">
        <f>SUM(C56:E56)</f>
        <v>18343232</v>
      </c>
    </row>
    <row r="57" spans="1:6" ht="15.75">
      <c r="A57" s="184" t="s">
        <v>498</v>
      </c>
      <c r="B57" s="184"/>
      <c r="C57" s="188"/>
      <c r="D57" s="188"/>
      <c r="E57" s="188"/>
      <c r="F57" s="180">
        <f>SUM(C57:E57)</f>
        <v>0</v>
      </c>
    </row>
    <row r="58" spans="1:6" ht="15.75">
      <c r="A58" s="180" t="s">
        <v>414</v>
      </c>
      <c r="B58" s="54">
        <v>162</v>
      </c>
      <c r="C58" s="180">
        <f>+'GROUPINGS FINAL'!E95</f>
        <v>112458253</v>
      </c>
      <c r="F58" s="180">
        <f>+E58+C58</f>
        <v>112458253</v>
      </c>
    </row>
    <row r="59" spans="1:6" ht="15.75">
      <c r="A59" s="180" t="s">
        <v>499</v>
      </c>
      <c r="B59" s="54">
        <v>163</v>
      </c>
      <c r="C59" s="180">
        <v>406695746</v>
      </c>
      <c r="F59" s="180">
        <f>+E59+C59</f>
        <v>406695746</v>
      </c>
    </row>
    <row r="60" spans="2:3" ht="15.75">
      <c r="B60" s="54"/>
      <c r="C60" s="184">
        <f>SUM(C58:C59)</f>
        <v>519153999</v>
      </c>
    </row>
    <row r="61" spans="1:2" ht="15.75">
      <c r="A61" s="184" t="s">
        <v>933</v>
      </c>
      <c r="B61" s="54"/>
    </row>
    <row r="62" spans="1:3" ht="15.75">
      <c r="A62" s="180" t="s">
        <v>934</v>
      </c>
      <c r="B62" s="54">
        <v>831</v>
      </c>
      <c r="C62" s="180">
        <f>-'GROUPINGS FINAL'!E304+27309043</f>
        <v>189429427</v>
      </c>
    </row>
    <row r="63" spans="1:3" ht="15.75">
      <c r="A63" s="180" t="s">
        <v>934</v>
      </c>
      <c r="B63" s="54">
        <v>163</v>
      </c>
      <c r="C63" s="180">
        <f>235099664+188884</f>
        <v>235288548</v>
      </c>
    </row>
    <row r="64" spans="1:3" ht="15.75">
      <c r="A64" s="180" t="s">
        <v>935</v>
      </c>
      <c r="B64" s="54">
        <v>1740</v>
      </c>
      <c r="C64" s="180">
        <f>-'GROUPINGS FINAL'!E408</f>
        <v>86192159</v>
      </c>
    </row>
    <row r="65" spans="1:3" ht="15.75">
      <c r="A65" s="180" t="s">
        <v>936</v>
      </c>
      <c r="B65" s="54">
        <v>831</v>
      </c>
      <c r="C65" s="189">
        <v>-27309043</v>
      </c>
    </row>
    <row r="66" spans="2:3" ht="15.75">
      <c r="B66" s="54"/>
      <c r="C66" s="184">
        <f>SUM(C62:C65)</f>
        <v>483601091</v>
      </c>
    </row>
    <row r="67" spans="1:6" ht="15.75">
      <c r="A67" s="190"/>
      <c r="B67" s="191"/>
      <c r="C67" s="188"/>
      <c r="D67" s="188"/>
      <c r="E67" s="188"/>
      <c r="F67" s="180">
        <f>SUM(C67:E67)</f>
        <v>0</v>
      </c>
    </row>
    <row r="68" spans="1:6" ht="15.75">
      <c r="A68" s="356" t="s">
        <v>937</v>
      </c>
      <c r="B68" s="356"/>
      <c r="C68" s="180">
        <f>+C56+C60-C66</f>
        <v>53896140</v>
      </c>
      <c r="F68" s="180">
        <f>SUM(C68:E68)</f>
        <v>53896140</v>
      </c>
    </row>
    <row r="69" spans="1:6" ht="15.75">
      <c r="A69" s="184" t="s">
        <v>500</v>
      </c>
      <c r="B69" s="186">
        <v>1648</v>
      </c>
      <c r="C69" s="184">
        <f>-'GROUPINGS FINAL'!E370</f>
        <v>27945906</v>
      </c>
      <c r="F69" s="180">
        <f>SUM(C69:E69)</f>
        <v>27945906</v>
      </c>
    </row>
    <row r="70" spans="3:6" ht="15.75">
      <c r="C70" s="184">
        <f>C68-C69</f>
        <v>25950234</v>
      </c>
      <c r="F70" s="180">
        <f>+F68-F69</f>
        <v>25950234</v>
      </c>
    </row>
    <row r="72" spans="1:3" ht="15.75">
      <c r="A72" s="355" t="s">
        <v>927</v>
      </c>
      <c r="B72" s="355"/>
      <c r="C72" s="355"/>
    </row>
    <row r="73" spans="1:5" ht="15.75">
      <c r="A73" s="184" t="s">
        <v>413</v>
      </c>
      <c r="B73" s="182"/>
      <c r="C73" s="188"/>
      <c r="D73" s="188"/>
      <c r="E73" s="188"/>
    </row>
    <row r="74" spans="1:6" ht="15.75">
      <c r="A74" s="180" t="s">
        <v>814</v>
      </c>
      <c r="B74" s="182">
        <v>1634</v>
      </c>
      <c r="C74" s="189">
        <f>+'GROUPINGS FINAL'!E362</f>
        <v>-13386213</v>
      </c>
      <c r="D74" s="189"/>
      <c r="E74" s="189"/>
      <c r="F74" s="180">
        <f>SUM(C74:E74)</f>
        <v>-13386213</v>
      </c>
    </row>
    <row r="75" spans="1:6" ht="15.75">
      <c r="A75" s="180" t="s">
        <v>415</v>
      </c>
      <c r="B75" s="54">
        <v>164</v>
      </c>
      <c r="C75" s="180">
        <f>+'GROUPINGS FINAL'!E97</f>
        <v>6033621</v>
      </c>
      <c r="F75" s="180">
        <f>+E75+C75</f>
        <v>6033621</v>
      </c>
    </row>
    <row r="76" spans="1:6" ht="15.75">
      <c r="A76" s="180" t="s">
        <v>416</v>
      </c>
      <c r="B76" s="54">
        <v>165</v>
      </c>
      <c r="C76" s="180">
        <f>+'GROUPINGS FINAL'!E98</f>
        <v>9340806</v>
      </c>
      <c r="F76" s="180">
        <f>+E76+C76</f>
        <v>9340806</v>
      </c>
    </row>
    <row r="77" spans="1:6" ht="15.75">
      <c r="A77" s="180" t="s">
        <v>417</v>
      </c>
      <c r="B77" s="54">
        <v>170</v>
      </c>
      <c r="C77" s="180">
        <f>+'GROUPINGS FINAL'!E101</f>
        <v>96822445</v>
      </c>
      <c r="D77" s="182">
        <v>42</v>
      </c>
      <c r="E77" s="180">
        <f>+'GROUPINGS FINAL'!E29</f>
        <v>19132115</v>
      </c>
      <c r="F77" s="180">
        <f>+E77+C77</f>
        <v>115954560</v>
      </c>
    </row>
    <row r="78" spans="1:6" ht="15.75">
      <c r="A78" s="180" t="s">
        <v>601</v>
      </c>
      <c r="B78" s="182">
        <v>175</v>
      </c>
      <c r="C78" s="180">
        <f>+'GROUPINGS FINAL'!E104</f>
        <v>833224</v>
      </c>
      <c r="D78" s="182">
        <v>47</v>
      </c>
      <c r="E78" s="180">
        <f>+'GROUPINGS FINAL'!E31</f>
        <v>85679</v>
      </c>
      <c r="F78" s="180">
        <f>+E78+C78</f>
        <v>918903</v>
      </c>
    </row>
    <row r="79" spans="1:6" ht="15.75">
      <c r="A79" s="180" t="s">
        <v>402</v>
      </c>
      <c r="B79" s="182"/>
      <c r="C79" s="184">
        <f>SUM(C74:C78)</f>
        <v>99643883</v>
      </c>
      <c r="D79" s="184"/>
      <c r="E79" s="184">
        <f>SUM(E74:E78)</f>
        <v>19217794</v>
      </c>
      <c r="F79" s="184">
        <f>SUM(F74:F78)</f>
        <v>118861677</v>
      </c>
    </row>
    <row r="81" spans="1:5" ht="15.75">
      <c r="A81" s="188" t="s">
        <v>928</v>
      </c>
      <c r="B81" s="187"/>
      <c r="C81" s="187"/>
      <c r="D81" s="187"/>
      <c r="E81" s="187"/>
    </row>
    <row r="82" spans="1:5" ht="15.75">
      <c r="A82" s="159" t="s">
        <v>373</v>
      </c>
      <c r="B82" s="159" t="s">
        <v>408</v>
      </c>
      <c r="C82" s="159" t="s">
        <v>222</v>
      </c>
      <c r="D82" s="159"/>
      <c r="E82" s="159"/>
    </row>
    <row r="83" spans="1:5" ht="15.75">
      <c r="A83" s="188" t="s">
        <v>409</v>
      </c>
      <c r="B83" s="192"/>
      <c r="C83" s="187"/>
      <c r="D83" s="187"/>
      <c r="E83" s="187"/>
    </row>
    <row r="84" spans="1:6" ht="15.75">
      <c r="A84" s="187" t="s">
        <v>375</v>
      </c>
      <c r="B84" s="192">
        <v>128</v>
      </c>
      <c r="C84" s="187">
        <f>+'GROUPINGS FINAL'!E70</f>
        <v>200442105</v>
      </c>
      <c r="D84" s="193">
        <v>1</v>
      </c>
      <c r="E84" s="187">
        <f>+'GROUPINGS FINAL'!E5</f>
        <v>32770536</v>
      </c>
      <c r="F84" s="180">
        <f>+E84+C84</f>
        <v>233212641</v>
      </c>
    </row>
    <row r="85" spans="1:6" ht="15.75">
      <c r="A85" s="187" t="s">
        <v>376</v>
      </c>
      <c r="B85" s="192">
        <v>129</v>
      </c>
      <c r="C85" s="187">
        <f>+'GROUPINGS FINAL'!E71</f>
        <v>90202870</v>
      </c>
      <c r="D85" s="193">
        <v>2</v>
      </c>
      <c r="E85" s="187">
        <f>+'GROUPINGS FINAL'!E6</f>
        <v>1843757</v>
      </c>
      <c r="F85" s="180">
        <f>+E85+C85</f>
        <v>92046627</v>
      </c>
    </row>
    <row r="86" spans="1:6" ht="15.75">
      <c r="A86" s="187" t="s">
        <v>377</v>
      </c>
      <c r="B86" s="192">
        <v>131</v>
      </c>
      <c r="C86" s="187">
        <f>+'GROUPINGS FINAL'!E73</f>
        <v>2054935</v>
      </c>
      <c r="D86" s="193">
        <v>4</v>
      </c>
      <c r="E86" s="187">
        <f>+'GROUPINGS FINAL'!E7</f>
        <v>179673</v>
      </c>
      <c r="F86" s="180">
        <f>+E86+C86</f>
        <v>2234608</v>
      </c>
    </row>
    <row r="87" spans="1:6" ht="15.75">
      <c r="A87" s="187" t="s">
        <v>378</v>
      </c>
      <c r="B87" s="192">
        <v>113</v>
      </c>
      <c r="C87" s="187">
        <f>+'GROUPINGS FINAL'!E64</f>
        <v>8858008</v>
      </c>
      <c r="D87" s="193">
        <v>112</v>
      </c>
      <c r="E87" s="187">
        <f>+'GROUPINGS FINAL'!E63</f>
        <v>1588590</v>
      </c>
      <c r="F87" s="180">
        <f>+E87+C87</f>
        <v>10446598</v>
      </c>
    </row>
    <row r="88" spans="1:6" ht="15.75">
      <c r="A88" s="187" t="s">
        <v>379</v>
      </c>
      <c r="B88" s="192">
        <v>115</v>
      </c>
      <c r="C88" s="187">
        <f>+'GROUPINGS FINAL'!E66</f>
        <v>16996052</v>
      </c>
      <c r="D88" s="193">
        <v>114</v>
      </c>
      <c r="E88" s="187">
        <f>+'GROUPINGS FINAL'!E65</f>
        <v>7714695</v>
      </c>
      <c r="F88" s="180">
        <f>+E88+C88</f>
        <v>24710747</v>
      </c>
    </row>
    <row r="89" spans="1:5" ht="15.75">
      <c r="A89" s="187"/>
      <c r="B89" s="192"/>
      <c r="C89" s="187"/>
      <c r="D89" s="187"/>
      <c r="E89" s="187"/>
    </row>
    <row r="90" spans="1:6" ht="15.75">
      <c r="A90" s="187"/>
      <c r="B90" s="192"/>
      <c r="C90" s="194">
        <f>SUM(C84:C88)</f>
        <v>318553970</v>
      </c>
      <c r="D90" s="194"/>
      <c r="E90" s="194">
        <f>SUM(E84:E88)</f>
        <v>44097251</v>
      </c>
      <c r="F90" s="194">
        <f>SUM(F84:F88)</f>
        <v>362651221</v>
      </c>
    </row>
    <row r="91" spans="1:5" ht="15.75">
      <c r="A91" s="187"/>
      <c r="B91" s="192"/>
      <c r="C91" s="194"/>
      <c r="D91" s="194"/>
      <c r="E91" s="194"/>
    </row>
    <row r="92" spans="1:5" ht="15.75">
      <c r="A92" s="188" t="s">
        <v>410</v>
      </c>
      <c r="B92" s="192"/>
      <c r="C92" s="187"/>
      <c r="D92" s="187"/>
      <c r="E92" s="187"/>
    </row>
    <row r="93" spans="1:6" ht="15.75">
      <c r="A93" s="187" t="s">
        <v>380</v>
      </c>
      <c r="B93" s="192">
        <v>132</v>
      </c>
      <c r="C93" s="187">
        <f>+'GROUPINGS FINAL'!E74</f>
        <v>48767803</v>
      </c>
      <c r="D93" s="195">
        <v>5</v>
      </c>
      <c r="E93" s="187">
        <f>+'GROUPINGS FINAL'!E8</f>
        <v>1127708</v>
      </c>
      <c r="F93" s="180">
        <f aca="true" t="shared" si="2" ref="F93:F119">+E93+C93</f>
        <v>49895511</v>
      </c>
    </row>
    <row r="94" spans="1:6" ht="15.75">
      <c r="A94" s="187" t="s">
        <v>381</v>
      </c>
      <c r="B94" s="192">
        <v>134</v>
      </c>
      <c r="C94" s="187">
        <f>+'GROUPINGS FINAL'!E75</f>
        <v>28619639</v>
      </c>
      <c r="D94" s="195">
        <v>7</v>
      </c>
      <c r="E94" s="187">
        <f>+'GROUPINGS FINAL'!E9</f>
        <v>4377693</v>
      </c>
      <c r="F94" s="180">
        <f t="shared" si="2"/>
        <v>32997332</v>
      </c>
    </row>
    <row r="95" spans="1:6" ht="15.75">
      <c r="A95" s="187" t="s">
        <v>382</v>
      </c>
      <c r="B95" s="192">
        <v>135</v>
      </c>
      <c r="C95" s="187">
        <f>+'GROUPINGS FINAL'!E76</f>
        <v>44601968</v>
      </c>
      <c r="D95" s="195">
        <v>8</v>
      </c>
      <c r="E95" s="187">
        <f>+'GROUPINGS FINAL'!E10</f>
        <v>8571364</v>
      </c>
      <c r="F95" s="180">
        <f t="shared" si="2"/>
        <v>53173332</v>
      </c>
    </row>
    <row r="96" spans="1:6" ht="15.75">
      <c r="A96" s="187" t="s">
        <v>383</v>
      </c>
      <c r="B96" s="192">
        <v>137</v>
      </c>
      <c r="C96" s="187">
        <f>+'GROUPINGS FINAL'!E77</f>
        <v>4629439</v>
      </c>
      <c r="D96" s="193">
        <v>10</v>
      </c>
      <c r="E96" s="187">
        <f>+'GROUPINGS FINAL'!E11</f>
        <v>864434</v>
      </c>
      <c r="F96" s="180">
        <f t="shared" si="2"/>
        <v>5493873</v>
      </c>
    </row>
    <row r="97" spans="1:6" ht="15.75">
      <c r="A97" s="187" t="s">
        <v>384</v>
      </c>
      <c r="B97" s="192">
        <v>139</v>
      </c>
      <c r="C97" s="187">
        <f>+'GROUPINGS FINAL'!E79</f>
        <v>19118404</v>
      </c>
      <c r="D97" s="193">
        <v>12</v>
      </c>
      <c r="E97" s="187">
        <f>+'GROUPINGS FINAL'!E12</f>
        <v>412759</v>
      </c>
      <c r="F97" s="180">
        <f t="shared" si="2"/>
        <v>19531163</v>
      </c>
    </row>
    <row r="98" spans="1:6" ht="15.75">
      <c r="A98" s="187" t="s">
        <v>385</v>
      </c>
      <c r="B98" s="192">
        <v>140</v>
      </c>
      <c r="C98" s="187">
        <f>+'GROUPINGS FINAL'!E80</f>
        <v>1364460</v>
      </c>
      <c r="D98" s="193">
        <v>13</v>
      </c>
      <c r="E98" s="187">
        <f>+'GROUPINGS FINAL'!E13</f>
        <v>254272</v>
      </c>
      <c r="F98" s="180">
        <f t="shared" si="2"/>
        <v>1618732</v>
      </c>
    </row>
    <row r="99" spans="1:6" ht="15.75">
      <c r="A99" s="187" t="s">
        <v>386</v>
      </c>
      <c r="B99" s="192">
        <v>142</v>
      </c>
      <c r="C99" s="187">
        <f>+'GROUPINGS FINAL'!E82</f>
        <v>817500</v>
      </c>
      <c r="D99" s="193"/>
      <c r="E99" s="187"/>
      <c r="F99" s="180">
        <f t="shared" si="2"/>
        <v>817500</v>
      </c>
    </row>
    <row r="100" spans="1:6" ht="15.75">
      <c r="A100" s="187" t="s">
        <v>894</v>
      </c>
      <c r="B100" s="192"/>
      <c r="C100" s="187"/>
      <c r="D100" s="193">
        <v>14</v>
      </c>
      <c r="E100" s="187">
        <f>+'GROUPINGS FINAL'!E14</f>
        <v>38100</v>
      </c>
      <c r="F100" s="180">
        <f t="shared" si="2"/>
        <v>38100</v>
      </c>
    </row>
    <row r="101" spans="1:6" ht="15.75">
      <c r="A101" s="187" t="s">
        <v>387</v>
      </c>
      <c r="B101" s="192">
        <v>143</v>
      </c>
      <c r="C101" s="187">
        <f>+'GROUPINGS FINAL'!E83</f>
        <v>2216344</v>
      </c>
      <c r="D101" s="193">
        <v>16</v>
      </c>
      <c r="E101" s="187">
        <f>+'GROUPINGS FINAL'!E15</f>
        <v>46416</v>
      </c>
      <c r="F101" s="180">
        <f t="shared" si="2"/>
        <v>2262760</v>
      </c>
    </row>
    <row r="102" spans="1:6" ht="15.75">
      <c r="A102" s="187" t="s">
        <v>388</v>
      </c>
      <c r="B102" s="192">
        <v>144</v>
      </c>
      <c r="C102" s="187">
        <f>+'GROUPINGS FINAL'!E84</f>
        <v>1786908</v>
      </c>
      <c r="D102" s="193">
        <v>17</v>
      </c>
      <c r="E102" s="187"/>
      <c r="F102" s="180">
        <f t="shared" si="2"/>
        <v>1786908</v>
      </c>
    </row>
    <row r="103" spans="1:6" ht="15.75">
      <c r="A103" s="187" t="s">
        <v>389</v>
      </c>
      <c r="B103" s="192">
        <v>145</v>
      </c>
      <c r="C103" s="187">
        <f>+'GROUPINGS FINAL'!E85</f>
        <v>2277424</v>
      </c>
      <c r="D103" s="193">
        <v>18</v>
      </c>
      <c r="E103" s="187">
        <f>+'GROUPINGS FINAL'!E16</f>
        <v>514634</v>
      </c>
      <c r="F103" s="180">
        <f t="shared" si="2"/>
        <v>2792058</v>
      </c>
    </row>
    <row r="104" spans="1:6" ht="15.75">
      <c r="A104" s="187" t="s">
        <v>390</v>
      </c>
      <c r="B104" s="192">
        <v>146</v>
      </c>
      <c r="C104" s="187">
        <f>+'GROUPINGS FINAL'!E86</f>
        <v>5490981</v>
      </c>
      <c r="D104" s="193">
        <v>19</v>
      </c>
      <c r="E104" s="187">
        <f>+'GROUPINGS FINAL'!E17</f>
        <v>12941602</v>
      </c>
      <c r="F104" s="180">
        <f t="shared" si="2"/>
        <v>18432583</v>
      </c>
    </row>
    <row r="105" spans="1:6" ht="15.75">
      <c r="A105" s="187" t="s">
        <v>391</v>
      </c>
      <c r="B105" s="192">
        <v>148</v>
      </c>
      <c r="C105" s="187">
        <f>+'GROUPINGS FINAL'!E87</f>
        <v>100224</v>
      </c>
      <c r="D105" s="193">
        <v>21</v>
      </c>
      <c r="E105" s="187">
        <f>+'GROUPINGS FINAL'!E18</f>
        <v>15900</v>
      </c>
      <c r="F105" s="180">
        <f t="shared" si="2"/>
        <v>116124</v>
      </c>
    </row>
    <row r="106" spans="1:6" ht="15.75">
      <c r="A106" s="187" t="s">
        <v>392</v>
      </c>
      <c r="B106" s="192">
        <v>150</v>
      </c>
      <c r="C106" s="187">
        <f>+'GROUPINGS FINAL'!E88</f>
        <v>4073757</v>
      </c>
      <c r="D106" s="193">
        <v>23</v>
      </c>
      <c r="E106" s="187">
        <f>+'GROUPINGS FINAL'!E20</f>
        <v>422505</v>
      </c>
      <c r="F106" s="180">
        <f t="shared" si="2"/>
        <v>4496262</v>
      </c>
    </row>
    <row r="107" spans="1:6" ht="15.75">
      <c r="A107" s="187" t="s">
        <v>393</v>
      </c>
      <c r="B107" s="192">
        <v>214</v>
      </c>
      <c r="C107" s="187">
        <f>+'GROUPINGS FINAL'!E129</f>
        <v>669892</v>
      </c>
      <c r="D107" s="193">
        <v>94</v>
      </c>
      <c r="E107" s="187">
        <f>+'GROUPINGS FINAL'!E53</f>
        <v>1105399</v>
      </c>
      <c r="F107" s="180">
        <f t="shared" si="2"/>
        <v>1775291</v>
      </c>
    </row>
    <row r="108" spans="1:6" ht="15.75">
      <c r="A108" s="187" t="s">
        <v>394</v>
      </c>
      <c r="B108" s="192">
        <v>130</v>
      </c>
      <c r="C108" s="187">
        <f>+'GROUPINGS FINAL'!E72</f>
        <v>4990246</v>
      </c>
      <c r="D108" s="193">
        <v>116</v>
      </c>
      <c r="E108" s="187">
        <f>+'GROUPINGS FINAL'!E67</f>
        <v>1560052</v>
      </c>
      <c r="F108" s="180">
        <f t="shared" si="2"/>
        <v>6550298</v>
      </c>
    </row>
    <row r="109" spans="1:6" ht="15.75">
      <c r="A109" s="187" t="s">
        <v>395</v>
      </c>
      <c r="B109" s="192">
        <v>138</v>
      </c>
      <c r="C109" s="187">
        <f>+'GROUPINGS FINAL'!E78</f>
        <v>55008536</v>
      </c>
      <c r="D109" s="193"/>
      <c r="E109" s="187"/>
      <c r="F109" s="180">
        <f t="shared" si="2"/>
        <v>55008536</v>
      </c>
    </row>
    <row r="110" spans="1:6" ht="15.75">
      <c r="A110" s="187" t="s">
        <v>396</v>
      </c>
      <c r="B110" s="192">
        <v>270</v>
      </c>
      <c r="C110" s="187">
        <f>+'GROUPINGS FINAL'!E149</f>
        <v>118284</v>
      </c>
      <c r="D110" s="193">
        <v>269</v>
      </c>
      <c r="E110" s="187">
        <f>+'GROUPINGS FINAL'!E148</f>
        <v>10449</v>
      </c>
      <c r="F110" s="180">
        <f t="shared" si="2"/>
        <v>128733</v>
      </c>
    </row>
    <row r="111" spans="1:6" ht="15.75">
      <c r="A111" s="187" t="s">
        <v>397</v>
      </c>
      <c r="B111" s="192">
        <v>394</v>
      </c>
      <c r="C111" s="187">
        <f>+'GROUPINGS FINAL'!E188</f>
        <v>50000</v>
      </c>
      <c r="D111" s="193">
        <v>391</v>
      </c>
      <c r="E111" s="187">
        <f>+'GROUPINGS FINAL'!E187</f>
        <v>6000</v>
      </c>
      <c r="F111" s="180">
        <f t="shared" si="2"/>
        <v>56000</v>
      </c>
    </row>
    <row r="112" spans="1:6" ht="15.75">
      <c r="A112" s="196" t="s">
        <v>398</v>
      </c>
      <c r="B112" s="192">
        <v>714</v>
      </c>
      <c r="C112" s="187">
        <f>+'GROUPINGS FINAL'!E288</f>
        <v>756970</v>
      </c>
      <c r="D112" s="193">
        <v>713</v>
      </c>
      <c r="E112" s="187"/>
      <c r="F112" s="180">
        <f t="shared" si="2"/>
        <v>756970</v>
      </c>
    </row>
    <row r="113" spans="1:6" ht="15.75">
      <c r="A113" s="5" t="s">
        <v>225</v>
      </c>
      <c r="B113" s="192">
        <v>521</v>
      </c>
      <c r="C113" s="197">
        <f>+'GROUPINGS FINAL'!E237</f>
        <v>0</v>
      </c>
      <c r="D113" s="193">
        <v>22</v>
      </c>
      <c r="E113" s="197">
        <f>+'GROUPINGS FINAL'!E19</f>
        <v>37817</v>
      </c>
      <c r="F113" s="180">
        <f t="shared" si="2"/>
        <v>37817</v>
      </c>
    </row>
    <row r="114" spans="1:6" ht="15.75">
      <c r="A114" s="187" t="s">
        <v>399</v>
      </c>
      <c r="B114" s="192">
        <v>594</v>
      </c>
      <c r="C114" s="187">
        <f>+'GROUPINGS FINAL'!E255</f>
        <v>8623816</v>
      </c>
      <c r="D114" s="193"/>
      <c r="E114" s="187"/>
      <c r="F114" s="180">
        <f t="shared" si="2"/>
        <v>8623816</v>
      </c>
    </row>
    <row r="115" spans="1:6" ht="15.75">
      <c r="A115" s="187" t="s">
        <v>400</v>
      </c>
      <c r="B115" s="192">
        <v>154</v>
      </c>
      <c r="C115" s="187">
        <f>+'GROUPINGS FINAL'!E90</f>
        <v>352861</v>
      </c>
      <c r="D115" s="193">
        <v>158</v>
      </c>
      <c r="E115" s="198">
        <f>+'GROUPINGS FINAL'!E92</f>
        <v>0</v>
      </c>
      <c r="F115" s="189">
        <f t="shared" si="2"/>
        <v>352861</v>
      </c>
    </row>
    <row r="116" spans="1:6" ht="15.75">
      <c r="A116" s="187" t="s">
        <v>401</v>
      </c>
      <c r="B116" s="192">
        <v>156</v>
      </c>
      <c r="C116" s="187">
        <f>+'GROUPINGS FINAL'!E91</f>
        <v>6328896</v>
      </c>
      <c r="D116" s="193"/>
      <c r="E116" s="187"/>
      <c r="F116" s="180">
        <f t="shared" si="2"/>
        <v>6328896</v>
      </c>
    </row>
    <row r="117" spans="1:6" ht="15.75">
      <c r="A117" s="187" t="s">
        <v>403</v>
      </c>
      <c r="B117" s="192">
        <v>768</v>
      </c>
      <c r="C117" s="187">
        <f>+'GROUPINGS FINAL'!E295</f>
        <v>57500</v>
      </c>
      <c r="D117" s="193">
        <v>769</v>
      </c>
      <c r="E117" s="187">
        <f>+'GROUPINGS FINAL'!E296</f>
        <v>51200</v>
      </c>
      <c r="F117" s="180">
        <f t="shared" si="2"/>
        <v>108700</v>
      </c>
    </row>
    <row r="118" spans="1:6" ht="15.75">
      <c r="A118" s="187" t="s">
        <v>404</v>
      </c>
      <c r="B118" s="192">
        <v>216</v>
      </c>
      <c r="C118" s="187">
        <f>+'GROUPINGS FINAL'!E131</f>
        <v>2775362</v>
      </c>
      <c r="D118" s="193">
        <v>96</v>
      </c>
      <c r="E118" s="187">
        <f>+'GROUPINGS FINAL'!E55</f>
        <v>365666</v>
      </c>
      <c r="F118" s="180">
        <f t="shared" si="2"/>
        <v>3141028</v>
      </c>
    </row>
    <row r="119" spans="1:6" ht="15.75">
      <c r="A119" s="187" t="s">
        <v>405</v>
      </c>
      <c r="B119" s="192">
        <v>283</v>
      </c>
      <c r="C119" s="187">
        <f>+'GROUPINGS FINAL'!E152</f>
        <v>4677837</v>
      </c>
      <c r="D119" s="193">
        <v>271</v>
      </c>
      <c r="E119" s="187">
        <f>+'GROUPINGS FINAL'!E150</f>
        <v>8000</v>
      </c>
      <c r="F119" s="180">
        <f t="shared" si="2"/>
        <v>4685837</v>
      </c>
    </row>
    <row r="120" spans="1:5" ht="15.75">
      <c r="A120" s="187"/>
      <c r="B120" s="192"/>
      <c r="C120" s="187"/>
      <c r="D120" s="187"/>
      <c r="E120" s="187"/>
    </row>
    <row r="121" spans="1:5" ht="15.75">
      <c r="A121" s="187"/>
      <c r="B121" s="192"/>
      <c r="C121" s="187"/>
      <c r="D121" s="187"/>
      <c r="E121" s="187"/>
    </row>
    <row r="122" spans="1:6" ht="15.75">
      <c r="A122" s="199"/>
      <c r="B122" s="200"/>
      <c r="C122" s="199">
        <f>SUM(C93:C120)</f>
        <v>248275051</v>
      </c>
      <c r="D122" s="199"/>
      <c r="E122" s="199">
        <f>SUM(E93:E120)</f>
        <v>32731970</v>
      </c>
      <c r="F122" s="199">
        <f>SUM(F93:F120)</f>
        <v>281007021</v>
      </c>
    </row>
    <row r="123" spans="1:5" ht="15.75">
      <c r="A123" s="199"/>
      <c r="B123" s="200"/>
      <c r="C123" s="199"/>
      <c r="D123" s="199"/>
      <c r="E123" s="199"/>
    </row>
    <row r="124" spans="1:5" ht="15.75">
      <c r="A124" s="201" t="s">
        <v>411</v>
      </c>
      <c r="B124" s="192"/>
      <c r="C124" s="187"/>
      <c r="D124" s="187"/>
      <c r="E124" s="187"/>
    </row>
    <row r="125" spans="1:5" ht="15.75">
      <c r="A125" s="201"/>
      <c r="B125" s="192"/>
      <c r="C125" s="187"/>
      <c r="D125" s="187"/>
      <c r="E125" s="187"/>
    </row>
    <row r="126" spans="1:6" ht="15.75">
      <c r="A126" s="187" t="s">
        <v>406</v>
      </c>
      <c r="B126" s="192">
        <v>152</v>
      </c>
      <c r="C126" s="187">
        <f>+'GROUPINGS FINAL'!E89</f>
        <v>919254</v>
      </c>
      <c r="D126" s="192">
        <v>25</v>
      </c>
      <c r="E126" s="187">
        <f>+'GROUPINGS FINAL'!E22</f>
        <v>18602062</v>
      </c>
      <c r="F126" s="180">
        <f>+E126+C126</f>
        <v>19521316</v>
      </c>
    </row>
    <row r="127" spans="1:6" ht="15.75">
      <c r="A127" s="5" t="s">
        <v>822</v>
      </c>
      <c r="B127" s="192"/>
      <c r="C127" s="187"/>
      <c r="D127" s="192">
        <v>24</v>
      </c>
      <c r="E127" s="187">
        <f>+'GROUPINGS FINAL'!E21</f>
        <v>41349</v>
      </c>
      <c r="F127" s="180">
        <f>+E127+C127</f>
        <v>41349</v>
      </c>
    </row>
    <row r="128" spans="1:6" ht="15.75">
      <c r="A128" s="187"/>
      <c r="B128" s="192"/>
      <c r="C128" s="188">
        <f>SUM(C126:C127)</f>
        <v>919254</v>
      </c>
      <c r="D128" s="187"/>
      <c r="E128" s="188">
        <f>SUM(E126:E127)</f>
        <v>18643411</v>
      </c>
      <c r="F128" s="188">
        <f>SUM(F126:F127)</f>
        <v>19562665</v>
      </c>
    </row>
    <row r="129" spans="1:5" ht="15.75">
      <c r="A129" s="188" t="s">
        <v>412</v>
      </c>
      <c r="B129" s="192"/>
      <c r="C129" s="187"/>
      <c r="D129" s="187"/>
      <c r="E129" s="187"/>
    </row>
    <row r="130" spans="1:5" ht="15.75">
      <c r="A130" s="188"/>
      <c r="B130" s="192"/>
      <c r="C130" s="187"/>
      <c r="D130" s="187"/>
      <c r="E130" s="187"/>
    </row>
    <row r="131" spans="1:6" ht="15.75">
      <c r="A131" s="187" t="s">
        <v>407</v>
      </c>
      <c r="B131" s="192">
        <v>189</v>
      </c>
      <c r="C131" s="187">
        <f>+'GROUPINGS FINAL'!E111</f>
        <v>2347005</v>
      </c>
      <c r="D131" s="192">
        <v>64</v>
      </c>
      <c r="E131" s="187">
        <f>+'GROUPINGS FINAL'!E39</f>
        <v>2611745</v>
      </c>
      <c r="F131" s="180">
        <f>+E131+C131</f>
        <v>4958750</v>
      </c>
    </row>
    <row r="132" spans="1:5" ht="15.75">
      <c r="A132" s="188"/>
      <c r="B132" s="159"/>
      <c r="C132" s="188"/>
      <c r="D132" s="188"/>
      <c r="E132" s="188"/>
    </row>
    <row r="133" spans="1:256" ht="15.75">
      <c r="A133" s="188" t="s">
        <v>929</v>
      </c>
      <c r="B133" s="159"/>
      <c r="C133" s="188"/>
      <c r="D133" s="188"/>
      <c r="E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8"/>
      <c r="CZ133" s="188"/>
      <c r="DA133" s="188"/>
      <c r="DB133" s="188"/>
      <c r="DC133" s="188"/>
      <c r="DD133" s="188"/>
      <c r="DE133" s="188"/>
      <c r="DF133" s="188"/>
      <c r="DG133" s="188"/>
      <c r="DH133" s="188"/>
      <c r="DI133" s="188"/>
      <c r="DJ133" s="188"/>
      <c r="DK133" s="188"/>
      <c r="DL133" s="188"/>
      <c r="DM133" s="188"/>
      <c r="DN133" s="188"/>
      <c r="DO133" s="188"/>
      <c r="DP133" s="188"/>
      <c r="DQ133" s="188"/>
      <c r="DR133" s="188"/>
      <c r="DS133" s="188"/>
      <c r="DT133" s="188"/>
      <c r="DU133" s="188"/>
      <c r="DV133" s="188"/>
      <c r="DW133" s="188"/>
      <c r="DX133" s="188"/>
      <c r="DY133" s="188"/>
      <c r="DZ133" s="188"/>
      <c r="EA133" s="188"/>
      <c r="EB133" s="188"/>
      <c r="EC133" s="188"/>
      <c r="ED133" s="188"/>
      <c r="EE133" s="188"/>
      <c r="EF133" s="188"/>
      <c r="EG133" s="188"/>
      <c r="EH133" s="188"/>
      <c r="EI133" s="188"/>
      <c r="EJ133" s="188"/>
      <c r="EK133" s="188"/>
      <c r="EL133" s="188"/>
      <c r="EM133" s="188"/>
      <c r="EN133" s="188"/>
      <c r="EO133" s="188"/>
      <c r="EP133" s="188"/>
      <c r="EQ133" s="188"/>
      <c r="ER133" s="188"/>
      <c r="ES133" s="188"/>
      <c r="ET133" s="188"/>
      <c r="EU133" s="188"/>
      <c r="EV133" s="188"/>
      <c r="EW133" s="188"/>
      <c r="EX133" s="188"/>
      <c r="EY133" s="188"/>
      <c r="EZ133" s="188"/>
      <c r="FA133" s="188"/>
      <c r="FB133" s="188"/>
      <c r="FC133" s="188"/>
      <c r="FD133" s="188"/>
      <c r="FE133" s="188"/>
      <c r="FF133" s="188"/>
      <c r="FG133" s="188"/>
      <c r="FH133" s="188"/>
      <c r="FI133" s="188"/>
      <c r="FJ133" s="188"/>
      <c r="FK133" s="188"/>
      <c r="FL133" s="188"/>
      <c r="FM133" s="188"/>
      <c r="FN133" s="188"/>
      <c r="FO133" s="188"/>
      <c r="FP133" s="188"/>
      <c r="FQ133" s="188"/>
      <c r="FR133" s="188"/>
      <c r="FS133" s="188"/>
      <c r="FT133" s="188"/>
      <c r="FU133" s="188"/>
      <c r="FV133" s="188"/>
      <c r="FW133" s="188"/>
      <c r="FX133" s="188"/>
      <c r="FY133" s="188"/>
      <c r="FZ133" s="188"/>
      <c r="GA133" s="188"/>
      <c r="GB133" s="188"/>
      <c r="GC133" s="188"/>
      <c r="GD133" s="188"/>
      <c r="GE133" s="188"/>
      <c r="GF133" s="188"/>
      <c r="GG133" s="188"/>
      <c r="GH133" s="188"/>
      <c r="GI133" s="188"/>
      <c r="GJ133" s="188"/>
      <c r="GK133" s="188"/>
      <c r="GL133" s="188"/>
      <c r="GM133" s="188"/>
      <c r="GN133" s="188"/>
      <c r="GO133" s="188"/>
      <c r="GP133" s="188"/>
      <c r="GQ133" s="188"/>
      <c r="GR133" s="188"/>
      <c r="GS133" s="188"/>
      <c r="GT133" s="188"/>
      <c r="GU133" s="188"/>
      <c r="GV133" s="188"/>
      <c r="GW133" s="188"/>
      <c r="GX133" s="188"/>
      <c r="GY133" s="188"/>
      <c r="GZ133" s="188"/>
      <c r="HA133" s="188"/>
      <c r="HB133" s="188"/>
      <c r="HC133" s="188"/>
      <c r="HD133" s="188"/>
      <c r="HE133" s="188"/>
      <c r="HF133" s="188"/>
      <c r="HG133" s="188"/>
      <c r="HH133" s="188"/>
      <c r="HI133" s="188"/>
      <c r="HJ133" s="188"/>
      <c r="HK133" s="188"/>
      <c r="HL133" s="188"/>
      <c r="HM133" s="188"/>
      <c r="HN133" s="188"/>
      <c r="HO133" s="188"/>
      <c r="HP133" s="188"/>
      <c r="HQ133" s="188"/>
      <c r="HR133" s="188"/>
      <c r="HS133" s="188"/>
      <c r="HT133" s="188"/>
      <c r="HU133" s="188"/>
      <c r="HV133" s="188"/>
      <c r="HW133" s="188"/>
      <c r="HX133" s="188"/>
      <c r="HY133" s="188"/>
      <c r="HZ133" s="188"/>
      <c r="IA133" s="188"/>
      <c r="IB133" s="188"/>
      <c r="IC133" s="188"/>
      <c r="ID133" s="188"/>
      <c r="IE133" s="188"/>
      <c r="IF133" s="188"/>
      <c r="IG133" s="188"/>
      <c r="IH133" s="188"/>
      <c r="II133" s="188"/>
      <c r="IJ133" s="188"/>
      <c r="IK133" s="188"/>
      <c r="IL133" s="188"/>
      <c r="IM133" s="188"/>
      <c r="IN133" s="188"/>
      <c r="IO133" s="188"/>
      <c r="IP133" s="188"/>
      <c r="IQ133" s="188"/>
      <c r="IR133" s="188"/>
      <c r="IS133" s="188"/>
      <c r="IT133" s="188"/>
      <c r="IU133" s="188"/>
      <c r="IV133" s="188"/>
    </row>
    <row r="134" ht="15.75">
      <c r="B134" s="182"/>
    </row>
    <row r="135" spans="1:2" ht="15.75">
      <c r="A135" s="184" t="s">
        <v>418</v>
      </c>
      <c r="B135" s="182"/>
    </row>
    <row r="136" spans="1:6" ht="15.75">
      <c r="A136" s="180" t="s">
        <v>593</v>
      </c>
      <c r="B136" s="182">
        <v>166</v>
      </c>
      <c r="C136" s="180">
        <f>+'GROUPINGS FINAL'!E99</f>
        <v>2527308</v>
      </c>
      <c r="D136" s="182">
        <v>38</v>
      </c>
      <c r="E136" s="180">
        <f>+'GROUPINGS FINAL'!E25</f>
        <v>146541</v>
      </c>
      <c r="F136" s="180">
        <f>+E136+C136</f>
        <v>2673849</v>
      </c>
    </row>
    <row r="137" spans="1:6" ht="15.75">
      <c r="A137" s="180" t="s">
        <v>594</v>
      </c>
      <c r="B137" s="182">
        <v>167</v>
      </c>
      <c r="C137" s="180">
        <f>+'GROUPINGS FINAL'!E100</f>
        <v>1045571</v>
      </c>
      <c r="D137" s="182">
        <v>39</v>
      </c>
      <c r="E137" s="180">
        <f>+'GROUPINGS FINAL'!E26</f>
        <v>95760</v>
      </c>
      <c r="F137" s="180">
        <f>+E137+C137</f>
        <v>1141331</v>
      </c>
    </row>
    <row r="138" spans="1:6" ht="15.75">
      <c r="A138" s="180" t="s">
        <v>419</v>
      </c>
      <c r="B138" s="182">
        <v>211</v>
      </c>
      <c r="C138" s="180">
        <f>+'GROUPINGS FINAL'!E126</f>
        <v>907266</v>
      </c>
      <c r="D138" s="182">
        <v>91</v>
      </c>
      <c r="E138" s="180">
        <f>+'GROUPINGS FINAL'!E50</f>
        <v>27005</v>
      </c>
      <c r="F138" s="180">
        <f>+E138+C138</f>
        <v>934271</v>
      </c>
    </row>
    <row r="139" spans="1:6" ht="15.75">
      <c r="A139" s="180" t="s">
        <v>402</v>
      </c>
      <c r="B139" s="182"/>
      <c r="C139" s="184">
        <f>SUM(C136:C138)</f>
        <v>4480145</v>
      </c>
      <c r="D139" s="184"/>
      <c r="E139" s="184">
        <f>SUM(E136:E138)</f>
        <v>269306</v>
      </c>
      <c r="F139" s="184">
        <f>SUM(F136:F138)</f>
        <v>4749451</v>
      </c>
    </row>
    <row r="140" ht="15.75">
      <c r="B140" s="182"/>
    </row>
    <row r="141" spans="1:2" ht="15.75">
      <c r="A141" s="184" t="s">
        <v>420</v>
      </c>
      <c r="B141" s="182"/>
    </row>
    <row r="142" spans="1:6" ht="15.75">
      <c r="A142" s="180" t="s">
        <v>595</v>
      </c>
      <c r="B142" s="182">
        <v>182</v>
      </c>
      <c r="C142" s="180">
        <f>+'GROUPINGS FINAL'!E107</f>
        <v>219280</v>
      </c>
      <c r="D142" s="182">
        <v>57</v>
      </c>
      <c r="E142" s="180">
        <f>+'GROUPINGS FINAL'!E35</f>
        <v>136396</v>
      </c>
      <c r="F142" s="180">
        <f>+E142+C142</f>
        <v>355676</v>
      </c>
    </row>
    <row r="143" spans="1:6" ht="15.75">
      <c r="A143" s="180" t="s">
        <v>596</v>
      </c>
      <c r="B143" s="182">
        <v>183</v>
      </c>
      <c r="C143" s="180">
        <f>+'GROUPINGS FINAL'!E108</f>
        <v>11068748</v>
      </c>
      <c r="D143" s="182">
        <v>58</v>
      </c>
      <c r="E143" s="189">
        <f>+'GROUPINGS FINAL'!E36</f>
        <v>367199</v>
      </c>
      <c r="F143" s="180">
        <f>+E143+C143</f>
        <v>11435947</v>
      </c>
    </row>
    <row r="144" spans="1:6" ht="15.75">
      <c r="A144" s="180" t="s">
        <v>421</v>
      </c>
      <c r="B144" s="182">
        <v>185</v>
      </c>
      <c r="C144" s="180">
        <f>+'GROUPINGS FINAL'!E109</f>
        <v>9750</v>
      </c>
      <c r="D144" s="182">
        <v>60</v>
      </c>
      <c r="E144" s="180">
        <f>+'GROUPINGS FINAL'!E37</f>
        <v>30969</v>
      </c>
      <c r="F144" s="180">
        <f>+E144+C144</f>
        <v>40719</v>
      </c>
    </row>
    <row r="145" spans="2:6" ht="15.75">
      <c r="B145" s="182"/>
      <c r="C145" s="184">
        <f>SUM(C142:C144)</f>
        <v>11297778</v>
      </c>
      <c r="D145" s="184"/>
      <c r="E145" s="184">
        <f>SUM(E142:E144)</f>
        <v>534564</v>
      </c>
      <c r="F145" s="184">
        <f>SUM(F142:F144)</f>
        <v>11832342</v>
      </c>
    </row>
    <row r="146" ht="15.75">
      <c r="B146" s="182"/>
    </row>
    <row r="147" spans="1:2" ht="15.75">
      <c r="A147" s="184" t="s">
        <v>422</v>
      </c>
      <c r="B147" s="182"/>
    </row>
    <row r="148" spans="1:6" ht="15.75">
      <c r="A148" s="180" t="s">
        <v>597</v>
      </c>
      <c r="B148" s="182">
        <v>171</v>
      </c>
      <c r="C148" s="180">
        <f>+'GROUPINGS FINAL'!E102+8500000</f>
        <v>27534565</v>
      </c>
      <c r="D148" s="182">
        <v>43</v>
      </c>
      <c r="E148" s="180">
        <f>+'GROUPINGS FINAL'!E30</f>
        <v>25845810</v>
      </c>
      <c r="F148" s="180">
        <f>+E148+C148</f>
        <v>53380375</v>
      </c>
    </row>
    <row r="149" spans="1:2" ht="15.75">
      <c r="A149" s="180" t="s">
        <v>402</v>
      </c>
      <c r="B149" s="182"/>
    </row>
    <row r="150" ht="15.75">
      <c r="B150" s="182"/>
    </row>
    <row r="151" spans="1:2" ht="15.75">
      <c r="A151" s="184" t="s">
        <v>423</v>
      </c>
      <c r="B151" s="182"/>
    </row>
    <row r="152" spans="1:6" ht="15.75">
      <c r="A152" s="180" t="s">
        <v>598</v>
      </c>
      <c r="B152" s="182">
        <v>410</v>
      </c>
      <c r="C152" s="180">
        <f>+'GROUPINGS FINAL'!E194</f>
        <v>6169214</v>
      </c>
      <c r="D152" s="182">
        <v>993</v>
      </c>
      <c r="E152" s="180">
        <f>+'GROUPINGS FINAL'!E348</f>
        <v>668030</v>
      </c>
      <c r="F152" s="180">
        <f>+E152+C152</f>
        <v>6837244</v>
      </c>
    </row>
    <row r="153" spans="1:2" ht="15.75">
      <c r="A153" s="184" t="s">
        <v>402</v>
      </c>
      <c r="B153" s="182"/>
    </row>
    <row r="154" spans="1:2" ht="15.75">
      <c r="A154" s="184" t="s">
        <v>424</v>
      </c>
      <c r="B154" s="182"/>
    </row>
    <row r="155" spans="1:6" ht="15.75">
      <c r="A155" s="180" t="s">
        <v>608</v>
      </c>
      <c r="B155" s="182"/>
      <c r="D155" s="182">
        <v>66</v>
      </c>
      <c r="E155" s="180">
        <f>+'GROUPINGS FINAL'!E40</f>
        <v>485778</v>
      </c>
      <c r="F155" s="180">
        <f aca="true" t="shared" si="3" ref="F155:F163">+C155+E155</f>
        <v>485778</v>
      </c>
    </row>
    <row r="156" spans="1:6" ht="15.75">
      <c r="A156" s="180" t="s">
        <v>600</v>
      </c>
      <c r="B156" s="182">
        <v>200</v>
      </c>
      <c r="C156" s="180">
        <f>+'GROUPINGS FINAL'!E116</f>
        <v>19750007</v>
      </c>
      <c r="D156" s="182">
        <v>76</v>
      </c>
      <c r="E156" s="180">
        <f>+'GROUPINGS FINAL'!E45</f>
        <v>1820809</v>
      </c>
      <c r="F156" s="180">
        <f t="shared" si="3"/>
        <v>21570816</v>
      </c>
    </row>
    <row r="157" spans="1:6" ht="15.75">
      <c r="A157" s="180" t="s">
        <v>425</v>
      </c>
      <c r="B157" s="182">
        <v>201</v>
      </c>
      <c r="C157" s="180">
        <f>+'GROUPINGS FINAL'!E117</f>
        <v>53624</v>
      </c>
      <c r="D157" s="182">
        <v>77</v>
      </c>
      <c r="F157" s="180">
        <f t="shared" si="3"/>
        <v>53624</v>
      </c>
    </row>
    <row r="158" spans="1:6" ht="15.75">
      <c r="A158" s="180" t="s">
        <v>426</v>
      </c>
      <c r="B158" s="182">
        <v>202</v>
      </c>
      <c r="C158" s="180">
        <f>+'GROUPINGS FINAL'!E118</f>
        <v>73759</v>
      </c>
      <c r="D158" s="182">
        <v>78</v>
      </c>
      <c r="F158" s="180">
        <f t="shared" si="3"/>
        <v>73759</v>
      </c>
    </row>
    <row r="159" spans="1:6" ht="15.75">
      <c r="A159" s="180" t="s">
        <v>427</v>
      </c>
      <c r="B159" s="182">
        <v>203</v>
      </c>
      <c r="C159" s="180">
        <f>+'GROUPINGS FINAL'!E119</f>
        <v>3156079</v>
      </c>
      <c r="D159" s="182">
        <v>79</v>
      </c>
      <c r="E159" s="180">
        <f>+'GROUPINGS FINAL'!E46</f>
        <v>2271259</v>
      </c>
      <c r="F159" s="180">
        <f t="shared" si="3"/>
        <v>5427338</v>
      </c>
    </row>
    <row r="160" spans="1:6" ht="15.75">
      <c r="A160" s="180" t="s">
        <v>428</v>
      </c>
      <c r="B160" s="182">
        <v>204</v>
      </c>
      <c r="C160" s="180">
        <f>+'GROUPINGS FINAL'!E120</f>
        <v>1822904</v>
      </c>
      <c r="D160" s="182">
        <v>80</v>
      </c>
      <c r="F160" s="180">
        <f t="shared" si="3"/>
        <v>1822904</v>
      </c>
    </row>
    <row r="161" spans="1:6" ht="15.75">
      <c r="A161" s="180" t="s">
        <v>599</v>
      </c>
      <c r="B161" s="182">
        <v>205</v>
      </c>
      <c r="C161" s="180">
        <f>+'GROUPINGS FINAL'!E121</f>
        <v>1965141</v>
      </c>
      <c r="D161" s="182">
        <v>81</v>
      </c>
      <c r="F161" s="180">
        <f t="shared" si="3"/>
        <v>1965141</v>
      </c>
    </row>
    <row r="162" spans="1:6" ht="15.75">
      <c r="A162" s="180" t="s">
        <v>429</v>
      </c>
      <c r="B162" s="182">
        <v>199</v>
      </c>
      <c r="C162" s="180">
        <f>+'GROUPINGS FINAL'!E115</f>
        <v>5764969</v>
      </c>
      <c r="D162" s="182">
        <v>75</v>
      </c>
      <c r="E162" s="180">
        <f>+'GROUPINGS FINAL'!E44</f>
        <v>6669195</v>
      </c>
      <c r="F162" s="180">
        <f t="shared" si="3"/>
        <v>12434164</v>
      </c>
    </row>
    <row r="163" spans="1:6" ht="15.75">
      <c r="A163" s="180" t="s">
        <v>430</v>
      </c>
      <c r="B163" s="182">
        <v>258</v>
      </c>
      <c r="C163" s="180">
        <f>+'GROUPINGS FINAL'!E144</f>
        <v>20844443</v>
      </c>
      <c r="D163" s="182">
        <v>256</v>
      </c>
      <c r="E163" s="180">
        <f>+'GROUPINGS FINAL'!E142</f>
        <v>3370076</v>
      </c>
      <c r="F163" s="180">
        <f t="shared" si="3"/>
        <v>24214519</v>
      </c>
    </row>
    <row r="164" spans="1:6" ht="15.75">
      <c r="A164" s="180" t="s">
        <v>431</v>
      </c>
      <c r="B164" s="182">
        <v>259</v>
      </c>
      <c r="C164" s="180">
        <f>+'GROUPINGS FINAL'!E145</f>
        <v>8357686</v>
      </c>
      <c r="D164" s="182">
        <v>257</v>
      </c>
      <c r="E164" s="180">
        <f>+'GROUPINGS FINAL'!E143</f>
        <v>1577623</v>
      </c>
      <c r="F164" s="180">
        <f>+C164+E164</f>
        <v>9935309</v>
      </c>
    </row>
    <row r="165" ht="15.75">
      <c r="B165" s="182"/>
    </row>
    <row r="166" spans="2:6" ht="15.75">
      <c r="B166" s="182"/>
      <c r="C166" s="184">
        <f>SUM(C155:C164)</f>
        <v>61788612</v>
      </c>
      <c r="D166" s="184"/>
      <c r="E166" s="184">
        <f>SUM(E155:E164)</f>
        <v>16194740</v>
      </c>
      <c r="F166" s="180">
        <f>SUM(F155:F164)</f>
        <v>77983352</v>
      </c>
    </row>
    <row r="167" spans="1:2" ht="15.75">
      <c r="A167" s="184"/>
      <c r="B167" s="182"/>
    </row>
    <row r="168" spans="1:2" ht="15.75">
      <c r="A168" s="184" t="s">
        <v>432</v>
      </c>
      <c r="B168" s="182"/>
    </row>
    <row r="169" spans="1:6" ht="15.75">
      <c r="A169" s="180" t="s">
        <v>433</v>
      </c>
      <c r="B169" s="182"/>
      <c r="D169" s="182">
        <v>40</v>
      </c>
      <c r="E169" s="180">
        <f>+'GROUPINGS FINAL'!E27</f>
        <v>737961</v>
      </c>
      <c r="F169" s="180">
        <f>+E169+C169</f>
        <v>737961</v>
      </c>
    </row>
    <row r="170" spans="1:6" ht="15.75">
      <c r="A170" s="180" t="s">
        <v>458</v>
      </c>
      <c r="B170" s="182"/>
      <c r="D170" s="182">
        <v>41</v>
      </c>
      <c r="E170" s="180">
        <f>+'GROUPINGS FINAL'!E28</f>
        <v>64620</v>
      </c>
      <c r="F170" s="180">
        <f>+E170+C170</f>
        <v>64620</v>
      </c>
    </row>
    <row r="171" spans="2:6" ht="15.75">
      <c r="B171" s="182"/>
      <c r="C171" s="184">
        <f>SUM(C169:C170)</f>
        <v>0</v>
      </c>
      <c r="D171" s="191"/>
      <c r="E171" s="184">
        <f>SUM(E169:E170)</f>
        <v>802581</v>
      </c>
      <c r="F171" s="180">
        <f>SUM(F169:F170)</f>
        <v>802581</v>
      </c>
    </row>
    <row r="172" spans="1:2" ht="15.75">
      <c r="A172" s="202" t="s">
        <v>459</v>
      </c>
      <c r="B172" s="182"/>
    </row>
    <row r="173" spans="1:6" ht="15.75">
      <c r="A173" s="180" t="s">
        <v>460</v>
      </c>
      <c r="B173" s="182">
        <v>215</v>
      </c>
      <c r="C173" s="180">
        <f>+'GROUPINGS FINAL'!E130</f>
        <v>3544211</v>
      </c>
      <c r="D173" s="182">
        <v>95</v>
      </c>
      <c r="E173" s="180">
        <f>+'GROUPINGS FINAL'!E54</f>
        <v>460814</v>
      </c>
      <c r="F173" s="180">
        <f>+E173+C173</f>
        <v>4005025</v>
      </c>
    </row>
    <row r="174" spans="1:6" ht="15.75">
      <c r="A174" s="180" t="s">
        <v>461</v>
      </c>
      <c r="B174" s="182"/>
      <c r="D174" s="182">
        <v>101</v>
      </c>
      <c r="E174" s="180">
        <f>+'GROUPINGS FINAL'!E57</f>
        <v>972571</v>
      </c>
      <c r="F174" s="180">
        <f>+E174+C174</f>
        <v>972571</v>
      </c>
    </row>
    <row r="175" spans="2:6" ht="15.75">
      <c r="B175" s="182"/>
      <c r="C175" s="184">
        <f>SUM(C173:C174)</f>
        <v>3544211</v>
      </c>
      <c r="E175" s="184">
        <f>SUM(E173:E174)</f>
        <v>1433385</v>
      </c>
      <c r="F175" s="180">
        <f>SUM(F173:F174)</f>
        <v>4977596</v>
      </c>
    </row>
    <row r="176" spans="1:4" ht="15.75">
      <c r="A176" s="202" t="s">
        <v>462</v>
      </c>
      <c r="B176" s="182"/>
      <c r="D176" s="182"/>
    </row>
    <row r="177" spans="1:6" ht="15.75">
      <c r="A177" s="180" t="s">
        <v>463</v>
      </c>
      <c r="B177" s="182">
        <v>239</v>
      </c>
      <c r="C177" s="180">
        <f>+'GROUPINGS FINAL'!E139</f>
        <v>1122434</v>
      </c>
      <c r="D177" s="182">
        <v>120</v>
      </c>
      <c r="E177" s="180">
        <f>+'GROUPINGS FINAL'!E68</f>
        <v>419783</v>
      </c>
      <c r="F177" s="180">
        <f>+E177+C177</f>
        <v>1542217</v>
      </c>
    </row>
    <row r="178" spans="1:6" ht="15.75">
      <c r="A178" s="180" t="s">
        <v>602</v>
      </c>
      <c r="B178" s="182"/>
      <c r="D178" s="182"/>
      <c r="F178" s="180">
        <f>+E178+C178</f>
        <v>0</v>
      </c>
    </row>
    <row r="179" spans="1:6" ht="15.75">
      <c r="A179" s="180" t="s">
        <v>464</v>
      </c>
      <c r="B179" s="182">
        <v>242</v>
      </c>
      <c r="C179" s="180">
        <f>+'GROUPINGS FINAL'!E140-1547854</f>
        <v>328384</v>
      </c>
      <c r="D179" s="182">
        <v>123</v>
      </c>
      <c r="E179" s="180">
        <f>+'GROUPINGS FINAL'!E69</f>
        <v>403556</v>
      </c>
      <c r="F179" s="180">
        <f>+E179+C179</f>
        <v>731940</v>
      </c>
    </row>
    <row r="180" spans="2:6" ht="15.75">
      <c r="B180" s="182"/>
      <c r="C180" s="184">
        <f>SUM(C177:C179)</f>
        <v>1450818</v>
      </c>
      <c r="D180" s="184"/>
      <c r="E180" s="184">
        <f>SUM(E177:E179)</f>
        <v>823339</v>
      </c>
      <c r="F180" s="180">
        <f>SUM(F177:F179)</f>
        <v>2274157</v>
      </c>
    </row>
    <row r="181" spans="1:2" ht="15.75">
      <c r="A181" s="202" t="s">
        <v>465</v>
      </c>
      <c r="B181" s="182"/>
    </row>
    <row r="182" spans="1:6" ht="15.75">
      <c r="A182" s="180" t="s">
        <v>466</v>
      </c>
      <c r="B182" s="182">
        <v>209</v>
      </c>
      <c r="C182" s="180">
        <f>+'GROUPINGS FINAL'!E124</f>
        <v>505450</v>
      </c>
      <c r="D182" s="182">
        <v>89</v>
      </c>
      <c r="E182" s="180">
        <f>+'GROUPINGS FINAL'!E48</f>
        <v>14212</v>
      </c>
      <c r="F182" s="180">
        <f>+E182+C182</f>
        <v>519662</v>
      </c>
    </row>
    <row r="183" spans="1:6" ht="15.75">
      <c r="A183" s="180" t="s">
        <v>467</v>
      </c>
      <c r="B183" s="182">
        <v>210</v>
      </c>
      <c r="C183" s="180">
        <f>+'GROUPINGS FINAL'!E125</f>
        <v>3335606</v>
      </c>
      <c r="D183" s="182">
        <v>90</v>
      </c>
      <c r="E183" s="180">
        <f>+'GROUPINGS FINAL'!E49</f>
        <v>1538871.7</v>
      </c>
      <c r="F183" s="180">
        <f>+E183+C183</f>
        <v>4874477.7</v>
      </c>
    </row>
    <row r="184" spans="2:6" ht="15.75">
      <c r="B184" s="182"/>
      <c r="C184" s="184">
        <f>SUM(C182:C183)</f>
        <v>3841056</v>
      </c>
      <c r="D184" s="184"/>
      <c r="E184" s="184">
        <f>SUM(E182:E183)</f>
        <v>1553083.7</v>
      </c>
      <c r="F184" s="180">
        <f>SUM(F182:F183)</f>
        <v>5394139.7</v>
      </c>
    </row>
    <row r="185" spans="1:2" ht="15.75">
      <c r="A185" s="184" t="s">
        <v>468</v>
      </c>
      <c r="B185" s="182"/>
    </row>
    <row r="186" spans="1:6" ht="15.75">
      <c r="A186" s="180" t="s">
        <v>603</v>
      </c>
      <c r="B186" s="182">
        <v>208</v>
      </c>
      <c r="C186" s="180">
        <f>+'GROUPINGS FINAL'!E123</f>
        <v>6305145</v>
      </c>
      <c r="D186" s="182">
        <v>88</v>
      </c>
      <c r="E186" s="180">
        <f>+'GROUPINGS FINAL'!E47</f>
        <v>769140</v>
      </c>
      <c r="F186" s="180">
        <f>+E186+C186</f>
        <v>7074285</v>
      </c>
    </row>
    <row r="187" spans="1:2" ht="15.75">
      <c r="A187" s="184" t="s">
        <v>402</v>
      </c>
      <c r="B187" s="182"/>
    </row>
    <row r="188" spans="1:2" ht="47.25">
      <c r="A188" s="202" t="s">
        <v>469</v>
      </c>
      <c r="B188" s="182"/>
    </row>
    <row r="189" spans="1:6" ht="15.75">
      <c r="A189" s="180" t="s">
        <v>470</v>
      </c>
      <c r="B189" s="182">
        <v>196</v>
      </c>
      <c r="C189" s="180">
        <f>+'GROUPINGS FINAL'!E113</f>
        <v>2357395</v>
      </c>
      <c r="D189" s="182">
        <v>72</v>
      </c>
      <c r="E189" s="180">
        <f>+'GROUPINGS FINAL'!E42</f>
        <v>719083</v>
      </c>
      <c r="F189" s="180">
        <f>+C189+E189</f>
        <v>3076478</v>
      </c>
    </row>
    <row r="190" spans="1:6" ht="15.75">
      <c r="A190" s="180" t="s">
        <v>471</v>
      </c>
      <c r="B190" s="182">
        <v>187</v>
      </c>
      <c r="C190" s="180">
        <f>+'GROUPINGS FINAL'!E110</f>
        <v>66207</v>
      </c>
      <c r="D190" s="182">
        <v>62</v>
      </c>
      <c r="E190" s="180">
        <f>+'GROUPINGS FINAL'!E38</f>
        <v>131506</v>
      </c>
      <c r="F190" s="180">
        <f>+C190+E190</f>
        <v>197713</v>
      </c>
    </row>
    <row r="191" spans="1:6" ht="15.75">
      <c r="A191" s="180" t="s">
        <v>472</v>
      </c>
      <c r="B191" s="182">
        <v>224</v>
      </c>
      <c r="C191" s="180">
        <f>+'GROUPINGS FINAL'!E136</f>
        <v>130906</v>
      </c>
      <c r="D191" s="182">
        <v>104</v>
      </c>
      <c r="E191" s="180">
        <f>+'GROUPINGS FINAL'!E60</f>
        <v>81344</v>
      </c>
      <c r="F191" s="180">
        <f>+C191+E191</f>
        <v>212250</v>
      </c>
    </row>
    <row r="192" spans="1:6" ht="15.75">
      <c r="A192" s="180" t="s">
        <v>473</v>
      </c>
      <c r="B192" s="182">
        <v>212</v>
      </c>
      <c r="C192" s="180">
        <f>+'GROUPINGS FINAL'!E127</f>
        <v>128907</v>
      </c>
      <c r="D192" s="182">
        <v>92</v>
      </c>
      <c r="E192" s="180">
        <f>+'GROUPINGS FINAL'!E51</f>
        <v>107755</v>
      </c>
      <c r="F192" s="180">
        <f>+C192+E192</f>
        <v>236662</v>
      </c>
    </row>
    <row r="193" spans="1:6" ht="15.75">
      <c r="A193" s="180" t="s">
        <v>474</v>
      </c>
      <c r="B193" s="182">
        <v>213</v>
      </c>
      <c r="C193" s="180">
        <f>+'GROUPINGS FINAL'!E128</f>
        <v>152351</v>
      </c>
      <c r="D193" s="182">
        <v>93</v>
      </c>
      <c r="E193" s="180">
        <f>+'GROUPINGS FINAL'!E52</f>
        <v>4034665</v>
      </c>
      <c r="F193" s="180">
        <f>+C193+E193</f>
        <v>4187016</v>
      </c>
    </row>
    <row r="194" spans="2:6" ht="15.75">
      <c r="B194" s="182"/>
      <c r="C194" s="184">
        <f>SUM(C189:C193)</f>
        <v>2835766</v>
      </c>
      <c r="D194" s="184"/>
      <c r="E194" s="184">
        <f>SUM(E189:E193)</f>
        <v>5074353</v>
      </c>
      <c r="F194" s="180">
        <f>SUM(F189:F193)</f>
        <v>7910119</v>
      </c>
    </row>
    <row r="195" spans="1:2" ht="31.5">
      <c r="A195" s="202" t="s">
        <v>475</v>
      </c>
      <c r="B195" s="182"/>
    </row>
    <row r="196" spans="1:6" ht="15.75">
      <c r="A196" s="180" t="s">
        <v>476</v>
      </c>
      <c r="B196" s="182">
        <v>336</v>
      </c>
      <c r="C196" s="180">
        <f>+'GROUPINGS FINAL'!E169</f>
        <v>834792</v>
      </c>
      <c r="F196" s="180">
        <f>+E196+C196</f>
        <v>834792</v>
      </c>
    </row>
    <row r="197" spans="1:6" ht="15.75">
      <c r="A197" s="180" t="s">
        <v>477</v>
      </c>
      <c r="B197" s="182">
        <v>30</v>
      </c>
      <c r="C197" s="180">
        <f>+'GROUPINGS FINAL'!E24</f>
        <v>125000</v>
      </c>
      <c r="F197" s="180">
        <f>+E197+C197</f>
        <v>125000</v>
      </c>
    </row>
    <row r="198" spans="1:6" ht="15.75">
      <c r="A198" s="180" t="s">
        <v>478</v>
      </c>
      <c r="B198" s="182">
        <v>778</v>
      </c>
      <c r="C198" s="180">
        <f>+'GROUPINGS FINAL'!E299</f>
        <v>2711993</v>
      </c>
      <c r="D198" s="182">
        <v>780</v>
      </c>
      <c r="E198" s="180">
        <f>+'GROUPINGS FINAL'!E300</f>
        <v>2466472</v>
      </c>
      <c r="F198" s="180">
        <f>+E198+C198</f>
        <v>5178465</v>
      </c>
    </row>
    <row r="199" spans="1:6" ht="15.75">
      <c r="A199" s="180" t="s">
        <v>811</v>
      </c>
      <c r="B199" s="182">
        <v>1738</v>
      </c>
      <c r="C199" s="180">
        <f>+'GROUPINGS FINAL'!E406</f>
        <v>11904706</v>
      </c>
      <c r="D199" s="182">
        <v>1745</v>
      </c>
      <c r="E199" s="180">
        <f>+'GROUPINGS FINAL'!E412</f>
        <v>2853655</v>
      </c>
      <c r="F199" s="180">
        <f>+E199+C199</f>
        <v>14758361</v>
      </c>
    </row>
    <row r="200" spans="2:6" ht="15.75">
      <c r="B200" s="182"/>
      <c r="C200" s="184">
        <f>SUM(C196:C199)</f>
        <v>15576491</v>
      </c>
      <c r="D200" s="184"/>
      <c r="E200" s="184">
        <f>SUM(E196:E199)</f>
        <v>5320127</v>
      </c>
      <c r="F200" s="180">
        <f>SUM(F196:F199)</f>
        <v>20896618</v>
      </c>
    </row>
    <row r="201" spans="1:6" ht="15.75">
      <c r="A201" s="202" t="s">
        <v>479</v>
      </c>
      <c r="B201" s="182">
        <v>174</v>
      </c>
      <c r="C201" s="180">
        <f>+'GROUPINGS FINAL'!E103</f>
        <v>2082330</v>
      </c>
      <c r="F201" s="180">
        <f>+E201+C201</f>
        <v>2082330</v>
      </c>
    </row>
    <row r="202" ht="15.75">
      <c r="B202" s="182"/>
    </row>
    <row r="203" spans="1:2" ht="15.75">
      <c r="A203" s="184" t="s">
        <v>480</v>
      </c>
      <c r="B203" s="182"/>
    </row>
    <row r="204" spans="1:6" ht="15.75">
      <c r="A204" s="180" t="s">
        <v>481</v>
      </c>
      <c r="B204" s="182">
        <v>220</v>
      </c>
      <c r="C204" s="180">
        <f>+'GROUPINGS FINAL'!E133</f>
        <v>66162</v>
      </c>
      <c r="D204" s="182">
        <v>100</v>
      </c>
      <c r="E204" s="180">
        <f>+'GROUPINGS FINAL'!E56</f>
        <v>50000</v>
      </c>
      <c r="F204" s="180">
        <f>+E204+C204</f>
        <v>116162</v>
      </c>
    </row>
    <row r="205" spans="1:2" ht="15.75">
      <c r="A205" s="184" t="s">
        <v>402</v>
      </c>
      <c r="B205" s="182"/>
    </row>
    <row r="206" spans="1:2" ht="15.75">
      <c r="A206" s="184" t="s">
        <v>482</v>
      </c>
      <c r="B206" s="182"/>
    </row>
    <row r="207" spans="1:6" ht="15.75">
      <c r="A207" s="180" t="s">
        <v>604</v>
      </c>
      <c r="B207" s="182">
        <v>194</v>
      </c>
      <c r="C207" s="184">
        <f>+'GROUPINGS FINAL'!E112</f>
        <v>1170947</v>
      </c>
      <c r="D207" s="182">
        <v>69</v>
      </c>
      <c r="E207" s="184">
        <f>+'GROUPINGS FINAL'!E41</f>
        <v>18000</v>
      </c>
      <c r="F207" s="180">
        <f>+E207+C207</f>
        <v>1188947</v>
      </c>
    </row>
    <row r="208" spans="1:2" ht="15.75">
      <c r="A208" s="184" t="s">
        <v>402</v>
      </c>
      <c r="B208" s="182"/>
    </row>
    <row r="209" spans="1:2" ht="15.75">
      <c r="A209" s="202" t="s">
        <v>483</v>
      </c>
      <c r="B209" s="182"/>
    </row>
    <row r="210" spans="1:6" ht="15.75">
      <c r="A210" s="180" t="s">
        <v>484</v>
      </c>
      <c r="B210" s="182">
        <v>219</v>
      </c>
      <c r="C210" s="180">
        <f>+'GROUPINGS FINAL'!E132</f>
        <v>1107719</v>
      </c>
      <c r="F210" s="180">
        <f>+E210+C210</f>
        <v>1107719</v>
      </c>
    </row>
    <row r="211" spans="1:6" ht="15.75">
      <c r="A211" s="180" t="s">
        <v>485</v>
      </c>
      <c r="B211" s="182">
        <v>874</v>
      </c>
      <c r="C211" s="180">
        <f>+'GROUPINGS FINAL'!E310</f>
        <v>400758</v>
      </c>
      <c r="F211" s="180">
        <f>+E211+C211</f>
        <v>400758</v>
      </c>
    </row>
    <row r="212" spans="2:6" ht="15.75">
      <c r="B212" s="182"/>
      <c r="C212" s="184">
        <f>SUM(C210:C211)</f>
        <v>1508477</v>
      </c>
      <c r="D212" s="184"/>
      <c r="E212" s="184">
        <f>SUM(E210:E211)</f>
        <v>0</v>
      </c>
      <c r="F212" s="180">
        <f>SUM(F210:F211)</f>
        <v>1508477</v>
      </c>
    </row>
    <row r="213" spans="1:2" ht="15.75">
      <c r="A213" s="184" t="s">
        <v>491</v>
      </c>
      <c r="B213" s="182"/>
    </row>
    <row r="214" spans="1:6" ht="15.75">
      <c r="A214" s="180" t="s">
        <v>605</v>
      </c>
      <c r="B214" s="182">
        <v>222</v>
      </c>
      <c r="C214" s="180">
        <f>+'GROUPINGS FINAL'!E134</f>
        <v>5369197</v>
      </c>
      <c r="D214" s="182">
        <v>102</v>
      </c>
      <c r="E214" s="180">
        <f>+'GROUPINGS FINAL'!E58</f>
        <v>1742184</v>
      </c>
      <c r="F214" s="180">
        <f>+E214+C214</f>
        <v>7111381</v>
      </c>
    </row>
    <row r="215" spans="1:2" ht="15.75">
      <c r="A215" s="184" t="s">
        <v>402</v>
      </c>
      <c r="B215" s="182"/>
    </row>
    <row r="216" spans="1:2" ht="15.75">
      <c r="A216" s="184" t="s">
        <v>492</v>
      </c>
      <c r="B216" s="182"/>
    </row>
    <row r="217" spans="1:6" ht="15.75">
      <c r="A217" s="180" t="s">
        <v>606</v>
      </c>
      <c r="B217" s="182"/>
      <c r="F217" s="180">
        <f>+E217+C217</f>
        <v>0</v>
      </c>
    </row>
    <row r="218" spans="1:2" ht="15.75">
      <c r="A218" s="184" t="s">
        <v>402</v>
      </c>
      <c r="B218" s="182"/>
    </row>
    <row r="219" spans="1:2" ht="15.75">
      <c r="A219" s="184" t="s">
        <v>493</v>
      </c>
      <c r="B219" s="182"/>
    </row>
    <row r="220" spans="1:6" ht="15.75">
      <c r="A220" s="180" t="s">
        <v>607</v>
      </c>
      <c r="B220" s="182">
        <v>223</v>
      </c>
      <c r="C220" s="180">
        <f>+'GROUPINGS FINAL'!E135</f>
        <v>1355317.75</v>
      </c>
      <c r="D220" s="182">
        <v>103</v>
      </c>
      <c r="E220" s="180">
        <f>+'GROUPINGS FINAL'!E59</f>
        <v>238922</v>
      </c>
      <c r="F220" s="180">
        <f>+E220+C220</f>
        <v>1594239.75</v>
      </c>
    </row>
    <row r="221" spans="1:6" ht="15.75">
      <c r="A221" s="180" t="s">
        <v>812</v>
      </c>
      <c r="B221" s="182">
        <v>1739</v>
      </c>
      <c r="C221" s="180">
        <f>+'GROUPINGS FINAL'!E407</f>
        <v>1225318.45</v>
      </c>
      <c r="F221" s="180">
        <f>+E221+C221</f>
        <v>1225318.45</v>
      </c>
    </row>
    <row r="222" ht="15.75">
      <c r="B222" s="182"/>
    </row>
    <row r="223" spans="1:6" ht="15.75">
      <c r="A223" s="184" t="s">
        <v>494</v>
      </c>
      <c r="B223" s="182"/>
      <c r="F223" s="180">
        <f>+E223+C223</f>
        <v>0</v>
      </c>
    </row>
    <row r="224" spans="1:2" ht="15.75">
      <c r="A224" s="184"/>
      <c r="B224" s="182"/>
    </row>
    <row r="225" spans="1:6" ht="15.75">
      <c r="A225" s="184" t="s">
        <v>550</v>
      </c>
      <c r="B225" s="182"/>
      <c r="C225" s="184">
        <f>+C223+C221+C220+C217+C214+C212+C207+C204+C201+C200+C194+C186+C184+C180+C175+C171+C166+C152+C148+C145+C139+C79</f>
        <v>257245433.2</v>
      </c>
      <c r="E225" s="184">
        <f>+E223+E221+E220+E217+E214+E212+E207+E204+E201+E200+E194+E186+E184+E180+E175+E171+E166+E152+E148+E145+E139+E79</f>
        <v>80555358.7</v>
      </c>
      <c r="F225" s="184">
        <f>+F223+F221+F220+F217+F214+F212+F207+F204+F201+F200+F194+F186+F184+F180+F175+F171+F166+F152+F148+F145+F139+F79</f>
        <v>337800791.9</v>
      </c>
    </row>
    <row r="226" ht="15.75">
      <c r="B226" s="182"/>
    </row>
    <row r="227" spans="1:2" ht="15.75">
      <c r="A227" s="188" t="s">
        <v>930</v>
      </c>
      <c r="B227" s="182"/>
    </row>
    <row r="228" ht="15.75">
      <c r="B228" s="182"/>
    </row>
    <row r="229" spans="1:6" ht="15.75">
      <c r="A229" s="180" t="s">
        <v>495</v>
      </c>
      <c r="B229" s="182">
        <v>774</v>
      </c>
      <c r="C229" s="180">
        <f>+'GROUPINGS FINAL'!E298</f>
        <v>558892</v>
      </c>
      <c r="F229" s="180">
        <f>+E229+C229</f>
        <v>558892</v>
      </c>
    </row>
  </sheetData>
  <mergeCells count="6">
    <mergeCell ref="A72:C72"/>
    <mergeCell ref="A54:C54"/>
    <mergeCell ref="A68:B68"/>
    <mergeCell ref="A3:C3"/>
    <mergeCell ref="A7:C7"/>
    <mergeCell ref="A47:C47"/>
  </mergeCells>
  <printOptions gridLines="1" horizontalCentered="1"/>
  <pageMargins left="0.5" right="0.25" top="0.5" bottom="0.5" header="0.5" footer="0.5"/>
  <pageSetup fitToHeight="0" fitToWidth="1" horizontalDpi="180" verticalDpi="180" orientation="landscape" paperSize="9" scale="76" r:id="rId1"/>
  <rowBreaks count="5" manualBreakCount="5">
    <brk id="52" max="255" man="1"/>
    <brk id="80" max="255" man="1"/>
    <brk id="131" max="255" man="1"/>
    <brk id="175" max="255" man="1"/>
    <brk id="212"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2:E27"/>
  <sheetViews>
    <sheetView view="pageBreakPreview" zoomScale="60" workbookViewId="0" topLeftCell="A1">
      <selection activeCell="A6" sqref="A6"/>
    </sheetView>
  </sheetViews>
  <sheetFormatPr defaultColWidth="9.140625" defaultRowHeight="12.75"/>
  <cols>
    <col min="1" max="1" width="35.7109375" style="5" bestFit="1" customWidth="1"/>
    <col min="2" max="2" width="15.8515625" style="5" bestFit="1" customWidth="1"/>
    <col min="3" max="3" width="15.421875" style="5" bestFit="1" customWidth="1"/>
    <col min="4" max="4" width="9.140625" style="5" customWidth="1"/>
    <col min="5" max="5" width="2.140625" style="5" bestFit="1" customWidth="1"/>
    <col min="6" max="16384" width="9.140625" style="5" customWidth="1"/>
  </cols>
  <sheetData>
    <row r="2" spans="1:3" ht="15.75">
      <c r="A2" s="27" t="s">
        <v>588</v>
      </c>
      <c r="B2" s="27"/>
      <c r="C2" s="27"/>
    </row>
    <row r="3" spans="1:3" ht="15.75">
      <c r="A3" s="27"/>
      <c r="B3" s="27"/>
      <c r="C3" s="27"/>
    </row>
    <row r="4" ht="16.5" thickBot="1">
      <c r="C4" s="316" t="s">
        <v>122</v>
      </c>
    </row>
    <row r="5" spans="1:3" ht="31.5">
      <c r="A5" s="244" t="s">
        <v>10</v>
      </c>
      <c r="B5" s="6" t="s">
        <v>800</v>
      </c>
      <c r="C5" s="97" t="s">
        <v>784</v>
      </c>
    </row>
    <row r="6" spans="1:3" ht="15.75">
      <c r="A6" s="8"/>
      <c r="B6" s="9"/>
      <c r="C6" s="10"/>
    </row>
    <row r="7" spans="1:3" ht="15.75">
      <c r="A7" s="8" t="s">
        <v>589</v>
      </c>
      <c r="B7" s="100">
        <f>+'P&amp;L GROUP'!F49-23825</f>
        <v>6851655.7</v>
      </c>
      <c r="C7" s="101">
        <v>4528361.64</v>
      </c>
    </row>
    <row r="8" spans="1:3" ht="15.75">
      <c r="A8" s="8" t="s">
        <v>856</v>
      </c>
      <c r="B8" s="100">
        <v>23825</v>
      </c>
      <c r="C8" s="101">
        <v>7580</v>
      </c>
    </row>
    <row r="9" spans="1:3" ht="31.5">
      <c r="A9" s="92" t="s">
        <v>176</v>
      </c>
      <c r="B9" s="319">
        <v>8994512</v>
      </c>
      <c r="C9" s="320">
        <v>0</v>
      </c>
    </row>
    <row r="10" spans="1:3" ht="15.75">
      <c r="A10" s="8" t="s">
        <v>221</v>
      </c>
      <c r="B10" s="100">
        <f>+'P&amp;L GROUP'!F50</f>
        <v>411439</v>
      </c>
      <c r="C10" s="101">
        <v>0</v>
      </c>
    </row>
    <row r="11" spans="1:3" ht="15.75">
      <c r="A11" s="8"/>
      <c r="B11" s="100"/>
      <c r="C11" s="101"/>
    </row>
    <row r="12" spans="1:3" ht="16.5" thickBot="1">
      <c r="A12" s="45" t="s">
        <v>374</v>
      </c>
      <c r="B12" s="240">
        <f>SUM(B6:B10)</f>
        <v>16281431.7</v>
      </c>
      <c r="C12" s="242">
        <f>SUM(C6:C10)</f>
        <v>4535941.64</v>
      </c>
    </row>
    <row r="13" ht="15.75">
      <c r="E13" s="111"/>
    </row>
    <row r="14" ht="15.75">
      <c r="E14" s="111"/>
    </row>
    <row r="15" ht="15.75">
      <c r="E15" s="111"/>
    </row>
    <row r="16" ht="15.75">
      <c r="E16" s="111"/>
    </row>
    <row r="17" ht="15.75">
      <c r="E17" s="111"/>
    </row>
    <row r="18" ht="15.75">
      <c r="E18" s="111"/>
    </row>
    <row r="19" ht="15.75">
      <c r="E19" s="111"/>
    </row>
    <row r="20" ht="15.75">
      <c r="E20" s="111"/>
    </row>
    <row r="21" ht="15.75">
      <c r="E21" s="111"/>
    </row>
    <row r="22" ht="15.75">
      <c r="E22" s="111"/>
    </row>
    <row r="23" ht="15.75">
      <c r="E23" s="111"/>
    </row>
    <row r="24" ht="15.75">
      <c r="E24" s="111"/>
    </row>
    <row r="25" ht="15.75">
      <c r="E25" s="111"/>
    </row>
    <row r="26" ht="15.75">
      <c r="E26" s="111"/>
    </row>
    <row r="27" ht="15.75">
      <c r="E27" s="111"/>
    </row>
    <row r="39" ht="15.75" hidden="1"/>
  </sheetData>
  <printOptions horizontalCentered="1"/>
  <pageMargins left="0.75" right="0.75" top="1" bottom="1" header="0.5" footer="0.5"/>
  <pageSetup fitToHeight="0"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2:E24"/>
  <sheetViews>
    <sheetView view="pageBreakPreview" zoomScale="60" workbookViewId="0" topLeftCell="A1">
      <selection activeCell="A6" sqref="A6"/>
    </sheetView>
  </sheetViews>
  <sheetFormatPr defaultColWidth="9.140625" defaultRowHeight="12.75"/>
  <cols>
    <col min="1" max="1" width="49.57421875" style="63" bestFit="1" customWidth="1"/>
    <col min="2" max="2" width="14.00390625" style="63" customWidth="1"/>
    <col min="3" max="3" width="17.7109375" style="63" bestFit="1" customWidth="1"/>
    <col min="4" max="4" width="9.140625" style="63" customWidth="1"/>
    <col min="5" max="5" width="2.140625" style="63" bestFit="1" customWidth="1"/>
    <col min="6" max="16384" width="9.140625" style="63" customWidth="1"/>
  </cols>
  <sheetData>
    <row r="2" spans="1:3" ht="15.75">
      <c r="A2" s="322" t="s">
        <v>436</v>
      </c>
      <c r="B2" s="322"/>
      <c r="C2" s="322"/>
    </row>
    <row r="3" spans="1:3" ht="15.75">
      <c r="A3" s="317"/>
      <c r="B3" s="317"/>
      <c r="C3" s="317"/>
    </row>
    <row r="4" ht="16.5" thickBot="1">
      <c r="C4" s="109" t="s">
        <v>122</v>
      </c>
    </row>
    <row r="5" spans="1:3" ht="31.5">
      <c r="A5" s="244" t="s">
        <v>10</v>
      </c>
      <c r="B5" s="6" t="s">
        <v>800</v>
      </c>
      <c r="C5" s="97" t="s">
        <v>784</v>
      </c>
    </row>
    <row r="6" spans="1:3" ht="15.75">
      <c r="A6" s="30"/>
      <c r="B6" s="9"/>
      <c r="C6" s="49"/>
    </row>
    <row r="7" spans="1:3" ht="15.75">
      <c r="A7" s="30" t="s">
        <v>435</v>
      </c>
      <c r="B7" s="11">
        <f>+C11</f>
        <v>18343232</v>
      </c>
      <c r="C7" s="12">
        <v>30264845</v>
      </c>
    </row>
    <row r="8" spans="1:3" ht="15.75">
      <c r="A8" s="30"/>
      <c r="B8" s="11"/>
      <c r="C8" s="12"/>
    </row>
    <row r="9" spans="1:3" ht="15.75">
      <c r="A9" s="30" t="s">
        <v>434</v>
      </c>
      <c r="B9" s="11">
        <f>+'P&amp;L GROUP'!C60</f>
        <v>519153999</v>
      </c>
      <c r="C9" s="12">
        <f>329562613</f>
        <v>329562613</v>
      </c>
    </row>
    <row r="10" spans="1:5" ht="15.75">
      <c r="A10" s="30"/>
      <c r="B10" s="11"/>
      <c r="C10" s="12"/>
      <c r="E10" s="287"/>
    </row>
    <row r="11" spans="1:5" ht="15.75">
      <c r="A11" s="30" t="s">
        <v>439</v>
      </c>
      <c r="B11" s="11">
        <f>+'P&amp;L GROUP'!C69</f>
        <v>27945906</v>
      </c>
      <c r="C11" s="12">
        <f>+'GROUPINGS FINAL'!C397</f>
        <v>18343232</v>
      </c>
      <c r="E11" s="287"/>
    </row>
    <row r="12" spans="1:5" ht="15.75">
      <c r="A12" s="30"/>
      <c r="B12" s="11"/>
      <c r="C12" s="1"/>
      <c r="E12" s="287"/>
    </row>
    <row r="13" spans="1:5" ht="16.5" thickBot="1">
      <c r="A13" s="243" t="s">
        <v>947</v>
      </c>
      <c r="B13" s="134">
        <f>B7+B9-B11</f>
        <v>509551325</v>
      </c>
      <c r="C13" s="134">
        <f>C7+C9-C11</f>
        <v>341484226</v>
      </c>
      <c r="E13" s="287"/>
    </row>
    <row r="14" ht="15.75">
      <c r="E14" s="287"/>
    </row>
    <row r="15" spans="2:5" ht="15.75">
      <c r="B15" s="82"/>
      <c r="E15" s="287"/>
    </row>
    <row r="16" ht="15.75">
      <c r="E16" s="287"/>
    </row>
    <row r="17" ht="15.75">
      <c r="E17" s="287"/>
    </row>
    <row r="18" ht="15.75">
      <c r="E18" s="287"/>
    </row>
    <row r="19" ht="15.75">
      <c r="E19" s="287"/>
    </row>
    <row r="20" ht="15.75">
      <c r="E20" s="287"/>
    </row>
    <row r="21" ht="15.75">
      <c r="E21" s="287"/>
    </row>
    <row r="22" ht="15.75">
      <c r="E22" s="287"/>
    </row>
    <row r="23" ht="15.75">
      <c r="E23" s="287"/>
    </row>
    <row r="24" ht="15.75">
      <c r="E24" s="287"/>
    </row>
    <row r="38" ht="15.75" hidden="1"/>
  </sheetData>
  <mergeCells count="1">
    <mergeCell ref="A2:C2"/>
  </mergeCells>
  <printOptions horizontalCentered="1"/>
  <pageMargins left="0.75" right="0.75" top="1" bottom="1" header="0.5" footer="0.5"/>
  <pageSetup fitToHeight="0"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2:E26"/>
  <sheetViews>
    <sheetView view="pageBreakPreview" zoomScale="60" workbookViewId="0" topLeftCell="A1">
      <selection activeCell="A6" sqref="A6"/>
    </sheetView>
  </sheetViews>
  <sheetFormatPr defaultColWidth="9.140625" defaultRowHeight="12.75"/>
  <cols>
    <col min="1" max="1" width="40.00390625" style="63" bestFit="1" customWidth="1"/>
    <col min="2" max="2" width="16.8515625" style="63" bestFit="1" customWidth="1"/>
    <col min="3" max="3" width="17.7109375" style="63" bestFit="1" customWidth="1"/>
    <col min="4" max="4" width="9.140625" style="63" customWidth="1"/>
    <col min="5" max="5" width="5.57421875" style="63" bestFit="1" customWidth="1"/>
    <col min="6" max="16384" width="9.140625" style="63" customWidth="1"/>
  </cols>
  <sheetData>
    <row r="2" spans="1:3" ht="15.75">
      <c r="A2" s="322" t="s">
        <v>489</v>
      </c>
      <c r="B2" s="322"/>
      <c r="C2" s="322"/>
    </row>
    <row r="3" spans="1:3" ht="15.75">
      <c r="A3" s="317"/>
      <c r="B3" s="317"/>
      <c r="C3" s="317"/>
    </row>
    <row r="4" ht="16.5" thickBot="1">
      <c r="C4" s="109" t="s">
        <v>122</v>
      </c>
    </row>
    <row r="5" spans="1:3" ht="31.5">
      <c r="A5" s="244" t="s">
        <v>10</v>
      </c>
      <c r="B5" s="6" t="s">
        <v>800</v>
      </c>
      <c r="C5" s="97" t="s">
        <v>784</v>
      </c>
    </row>
    <row r="6" spans="1:3" ht="15.75">
      <c r="A6" s="30"/>
      <c r="B6" s="9"/>
      <c r="C6" s="49"/>
    </row>
    <row r="7" spans="1:3" ht="15.75">
      <c r="A7" s="30" t="s">
        <v>417</v>
      </c>
      <c r="B7" s="11">
        <f>+'P&amp;L GROUP'!F79</f>
        <v>118861677</v>
      </c>
      <c r="C7" s="12">
        <f>4887352+8653535+15880224+78156007+74541+600968+1</f>
        <v>108252628</v>
      </c>
    </row>
    <row r="8" spans="1:3" ht="15.75">
      <c r="A8" s="30"/>
      <c r="B8" s="11"/>
      <c r="C8" s="1"/>
    </row>
    <row r="9" spans="1:3" ht="16.5" thickBot="1">
      <c r="A9" s="243" t="s">
        <v>374</v>
      </c>
      <c r="B9" s="134">
        <f>SUM(B7:B8)</f>
        <v>118861677</v>
      </c>
      <c r="C9" s="236">
        <f>SUM(C7:C8)</f>
        <v>108252628</v>
      </c>
    </row>
    <row r="12" ht="15.75">
      <c r="E12" s="287"/>
    </row>
    <row r="13" ht="15.75">
      <c r="E13" s="287"/>
    </row>
    <row r="14" ht="15.75">
      <c r="E14" s="287"/>
    </row>
    <row r="15" ht="15.75">
      <c r="E15" s="287"/>
    </row>
    <row r="16" ht="15.75">
      <c r="E16" s="287"/>
    </row>
    <row r="17" ht="15.75">
      <c r="E17" s="287"/>
    </row>
    <row r="18" ht="15.75">
      <c r="E18" s="287"/>
    </row>
    <row r="19" ht="15.75">
      <c r="E19" s="299"/>
    </row>
    <row r="20" ht="15.75">
      <c r="E20" s="287"/>
    </row>
    <row r="21" ht="15.75">
      <c r="E21" s="287"/>
    </row>
    <row r="22" ht="15.75">
      <c r="E22" s="287"/>
    </row>
    <row r="23" ht="15.75">
      <c r="E23" s="287"/>
    </row>
    <row r="24" ht="15.75">
      <c r="E24" s="287"/>
    </row>
    <row r="25" ht="15.75">
      <c r="E25" s="287"/>
    </row>
    <row r="26" ht="15.75">
      <c r="E26" s="287"/>
    </row>
    <row r="38" ht="15.75" hidden="1"/>
  </sheetData>
  <mergeCells count="1">
    <mergeCell ref="A2:C2"/>
  </mergeCells>
  <printOptions horizontalCentered="1"/>
  <pageMargins left="0.75" right="0.75" top="1" bottom="1" header="0.5" footer="0.5"/>
  <pageSetup fitToHeight="0"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2:E26"/>
  <sheetViews>
    <sheetView view="pageBreakPreview" zoomScale="60" workbookViewId="0" topLeftCell="A1">
      <selection activeCell="A6" sqref="A6"/>
    </sheetView>
  </sheetViews>
  <sheetFormatPr defaultColWidth="9.140625" defaultRowHeight="12.75"/>
  <cols>
    <col min="1" max="1" width="61.140625" style="5" bestFit="1" customWidth="1"/>
    <col min="2" max="2" width="14.00390625" style="5" customWidth="1"/>
    <col min="3" max="3" width="17.28125" style="5" bestFit="1" customWidth="1"/>
    <col min="4" max="4" width="9.140625" style="5" customWidth="1"/>
    <col min="5" max="5" width="2.140625" style="5" bestFit="1" customWidth="1"/>
    <col min="6" max="16384" width="9.140625" style="5" customWidth="1"/>
  </cols>
  <sheetData>
    <row r="2" ht="15.75">
      <c r="A2" s="2" t="s">
        <v>931</v>
      </c>
    </row>
    <row r="3" ht="15.75">
      <c r="A3" s="2"/>
    </row>
    <row r="4" ht="16.5" thickBot="1">
      <c r="C4" s="316" t="s">
        <v>122</v>
      </c>
    </row>
    <row r="5" spans="1:3" ht="31.5">
      <c r="A5" s="3" t="s">
        <v>10</v>
      </c>
      <c r="B5" s="6" t="s">
        <v>800</v>
      </c>
      <c r="C5" s="7" t="s">
        <v>784</v>
      </c>
    </row>
    <row r="6" spans="1:3" ht="15.75">
      <c r="A6" s="8"/>
      <c r="B6" s="9"/>
      <c r="C6" s="10"/>
    </row>
    <row r="7" spans="1:3" ht="15.75">
      <c r="A7" s="8" t="s">
        <v>268</v>
      </c>
      <c r="B7" s="11">
        <f>+'P&amp;L GROUP'!F90</f>
        <v>362651221</v>
      </c>
      <c r="C7" s="12">
        <v>206158454</v>
      </c>
    </row>
    <row r="8" spans="1:3" ht="15.75">
      <c r="A8" s="8" t="s">
        <v>967</v>
      </c>
      <c r="B8" s="11">
        <f>+'P&amp;L GROUP'!F122</f>
        <v>281007021</v>
      </c>
      <c r="C8" s="12">
        <v>323621149</v>
      </c>
    </row>
    <row r="9" spans="1:3" ht="15.75">
      <c r="A9" s="8" t="s">
        <v>968</v>
      </c>
      <c r="B9" s="11">
        <f>+'P&amp;L GROUP'!F127</f>
        <v>41349</v>
      </c>
      <c r="C9" s="12">
        <v>1578545</v>
      </c>
    </row>
    <row r="10" spans="1:3" ht="15.75">
      <c r="A10" s="92" t="s">
        <v>269</v>
      </c>
      <c r="B10" s="11">
        <f>+'P&amp;L GROUP'!F126</f>
        <v>19521316</v>
      </c>
      <c r="C10" s="12">
        <v>100541829</v>
      </c>
    </row>
    <row r="11" spans="1:3" ht="15.75">
      <c r="A11" s="8" t="s">
        <v>969</v>
      </c>
      <c r="B11" s="11">
        <f>+'P&amp;L GROUP'!F131</f>
        <v>4958750</v>
      </c>
      <c r="C11" s="12">
        <v>8237936</v>
      </c>
    </row>
    <row r="12" spans="1:5" ht="15.75">
      <c r="A12" s="13"/>
      <c r="B12" s="14"/>
      <c r="C12" s="15"/>
      <c r="E12" s="111"/>
    </row>
    <row r="13" spans="1:5" ht="16.5" thickBot="1">
      <c r="A13" s="4" t="s">
        <v>374</v>
      </c>
      <c r="B13" s="16">
        <f>SUM(B7:B11)</f>
        <v>668179657</v>
      </c>
      <c r="C13" s="17">
        <f>SUM(C7:C11)</f>
        <v>640137913</v>
      </c>
      <c r="E13" s="111"/>
    </row>
    <row r="14" ht="15.75">
      <c r="E14" s="111"/>
    </row>
    <row r="15" ht="15.75">
      <c r="E15" s="111"/>
    </row>
    <row r="16" ht="15.75">
      <c r="E16" s="111"/>
    </row>
    <row r="17" ht="15.75">
      <c r="E17" s="111"/>
    </row>
    <row r="18" ht="15.75">
      <c r="E18" s="111"/>
    </row>
    <row r="19" ht="15.75">
      <c r="E19" s="111"/>
    </row>
    <row r="20" ht="15.75">
      <c r="E20" s="111"/>
    </row>
    <row r="21" ht="15.75">
      <c r="E21" s="111"/>
    </row>
    <row r="22" ht="15.75">
      <c r="E22" s="111"/>
    </row>
    <row r="23" ht="15.75">
      <c r="E23" s="111"/>
    </row>
    <row r="24" ht="15.75">
      <c r="E24" s="111"/>
    </row>
    <row r="25" ht="15.75">
      <c r="E25" s="111"/>
    </row>
    <row r="26" ht="15.75">
      <c r="E26" s="111"/>
    </row>
    <row r="38" ht="15.75" hidden="1"/>
  </sheetData>
  <printOptions horizontalCentered="1"/>
  <pageMargins left="0.75" right="0.75" top="1" bottom="1" header="0.5" footer="0.5"/>
  <pageSetup fitToHeight="0"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2:E33"/>
  <sheetViews>
    <sheetView view="pageBreakPreview" zoomScale="60" workbookViewId="0" topLeftCell="A1">
      <selection activeCell="A6" sqref="A6"/>
    </sheetView>
  </sheetViews>
  <sheetFormatPr defaultColWidth="9.140625" defaultRowHeight="12.75"/>
  <cols>
    <col min="1" max="1" width="3.28125" style="5" bestFit="1" customWidth="1"/>
    <col min="2" max="2" width="52.421875" style="5" bestFit="1" customWidth="1"/>
    <col min="3" max="4" width="14.00390625" style="5" bestFit="1" customWidth="1"/>
    <col min="5" max="5" width="11.57421875" style="5" bestFit="1" customWidth="1"/>
    <col min="6" max="16384" width="9.140625" style="5" customWidth="1"/>
  </cols>
  <sheetData>
    <row r="2" spans="1:4" ht="15.75">
      <c r="A2" s="358" t="s">
        <v>932</v>
      </c>
      <c r="B2" s="358"/>
      <c r="C2" s="358"/>
      <c r="D2" s="358"/>
    </row>
    <row r="3" spans="1:4" ht="15.75">
      <c r="A3" s="27"/>
      <c r="B3" s="27"/>
      <c r="C3" s="27"/>
      <c r="D3" s="27"/>
    </row>
    <row r="4" ht="16.5" thickBot="1">
      <c r="D4" s="316" t="s">
        <v>122</v>
      </c>
    </row>
    <row r="5" spans="1:4" ht="31.5">
      <c r="A5" s="384" t="s">
        <v>10</v>
      </c>
      <c r="B5" s="378"/>
      <c r="C5" s="6" t="s">
        <v>800</v>
      </c>
      <c r="D5" s="7" t="s">
        <v>784</v>
      </c>
    </row>
    <row r="6" spans="1:4" ht="15.75">
      <c r="A6" s="98"/>
      <c r="B6" s="178"/>
      <c r="C6" s="11"/>
      <c r="D6" s="12"/>
    </row>
    <row r="7" spans="1:4" ht="15.75">
      <c r="A7" s="98" t="s">
        <v>521</v>
      </c>
      <c r="B7" s="178" t="s">
        <v>490</v>
      </c>
      <c r="C7" s="11">
        <f>+'P&amp;L GROUP'!F139</f>
        <v>4749451</v>
      </c>
      <c r="D7" s="12">
        <v>4595215</v>
      </c>
    </row>
    <row r="8" spans="1:4" ht="15.75">
      <c r="A8" s="98" t="s">
        <v>522</v>
      </c>
      <c r="B8" s="178" t="s">
        <v>503</v>
      </c>
      <c r="C8" s="11">
        <f>+'P&amp;L GROUP'!F145</f>
        <v>11832342</v>
      </c>
      <c r="D8" s="12">
        <v>1483203</v>
      </c>
    </row>
    <row r="9" spans="1:4" ht="15.75">
      <c r="A9" s="98" t="s">
        <v>523</v>
      </c>
      <c r="B9" s="178" t="s">
        <v>504</v>
      </c>
      <c r="C9" s="11">
        <f>+'P&amp;L GROUP'!F148</f>
        <v>53380375</v>
      </c>
      <c r="D9" s="12">
        <v>55474521</v>
      </c>
    </row>
    <row r="10" spans="1:4" ht="15.75">
      <c r="A10" s="98" t="s">
        <v>524</v>
      </c>
      <c r="B10" s="178" t="s">
        <v>505</v>
      </c>
      <c r="C10" s="11">
        <f>+'P&amp;L GROUP'!F152</f>
        <v>6837244</v>
      </c>
      <c r="D10" s="12">
        <f>11814119-3247483</f>
        <v>8566636</v>
      </c>
    </row>
    <row r="11" spans="1:4" ht="15.75">
      <c r="A11" s="98" t="s">
        <v>525</v>
      </c>
      <c r="B11" s="178" t="s">
        <v>506</v>
      </c>
      <c r="C11" s="11">
        <f>+'P&amp;L GROUP'!F166</f>
        <v>77983352</v>
      </c>
      <c r="D11" s="12">
        <v>61526118</v>
      </c>
    </row>
    <row r="12" spans="1:5" ht="15.75">
      <c r="A12" s="98" t="s">
        <v>526</v>
      </c>
      <c r="B12" s="178" t="s">
        <v>507</v>
      </c>
      <c r="C12" s="11">
        <f>+'P&amp;L GROUP'!F171</f>
        <v>802581</v>
      </c>
      <c r="D12" s="12">
        <v>789051</v>
      </c>
      <c r="E12" s="111"/>
    </row>
    <row r="13" spans="1:5" ht="15.75">
      <c r="A13" s="98" t="s">
        <v>527</v>
      </c>
      <c r="B13" s="178" t="s">
        <v>508</v>
      </c>
      <c r="C13" s="11">
        <f>+'P&amp;L GROUP'!F175</f>
        <v>4977596</v>
      </c>
      <c r="D13" s="12">
        <f>2672258+3247483</f>
        <v>5919741</v>
      </c>
      <c r="E13" s="111"/>
    </row>
    <row r="14" spans="1:5" ht="15.75">
      <c r="A14" s="98" t="s">
        <v>528</v>
      </c>
      <c r="B14" s="178" t="s">
        <v>502</v>
      </c>
      <c r="C14" s="11">
        <f>+'P&amp;L GROUP'!F180</f>
        <v>2274157</v>
      </c>
      <c r="D14" s="12">
        <v>3504117</v>
      </c>
      <c r="E14" s="111"/>
    </row>
    <row r="15" spans="1:5" ht="15.75">
      <c r="A15" s="98" t="s">
        <v>529</v>
      </c>
      <c r="B15" s="178" t="s">
        <v>509</v>
      </c>
      <c r="C15" s="11">
        <f>+'P&amp;L GROUP'!F184</f>
        <v>5394139.7</v>
      </c>
      <c r="D15" s="12">
        <v>4812252</v>
      </c>
      <c r="E15" s="111"/>
    </row>
    <row r="16" spans="1:5" ht="15.75">
      <c r="A16" s="98" t="s">
        <v>530</v>
      </c>
      <c r="B16" s="178" t="s">
        <v>510</v>
      </c>
      <c r="C16" s="11">
        <f>+'P&amp;L GROUP'!F186</f>
        <v>7074285</v>
      </c>
      <c r="D16" s="12">
        <v>6297575</v>
      </c>
      <c r="E16" s="111"/>
    </row>
    <row r="17" spans="1:5" ht="15.75">
      <c r="A17" s="98" t="s">
        <v>531</v>
      </c>
      <c r="B17" s="178" t="s">
        <v>511</v>
      </c>
      <c r="C17" s="11">
        <f>+'P&amp;L GROUP'!F194</f>
        <v>7910119</v>
      </c>
      <c r="D17" s="12">
        <v>8027121</v>
      </c>
      <c r="E17" s="111"/>
    </row>
    <row r="18" spans="1:5" ht="15.75">
      <c r="A18" s="98" t="s">
        <v>532</v>
      </c>
      <c r="B18" s="178" t="s">
        <v>141</v>
      </c>
      <c r="C18" s="11">
        <f>+'P&amp;L GROUP'!F200</f>
        <v>20896618</v>
      </c>
      <c r="D18" s="12">
        <v>4438871</v>
      </c>
      <c r="E18" s="111"/>
    </row>
    <row r="19" spans="1:5" ht="15.75">
      <c r="A19" s="98" t="s">
        <v>533</v>
      </c>
      <c r="B19" s="178" t="s">
        <v>512</v>
      </c>
      <c r="C19" s="11">
        <f>+'P&amp;L GROUP'!F201</f>
        <v>2082330</v>
      </c>
      <c r="D19" s="12">
        <v>4919815</v>
      </c>
      <c r="E19" s="300"/>
    </row>
    <row r="20" spans="1:5" ht="15.75">
      <c r="A20" s="98" t="s">
        <v>534</v>
      </c>
      <c r="B20" s="178" t="s">
        <v>513</v>
      </c>
      <c r="C20" s="11">
        <f>+'P&amp;L GROUP'!F204+49138</f>
        <v>165300</v>
      </c>
      <c r="D20" s="12">
        <v>135000</v>
      </c>
      <c r="E20" s="111"/>
    </row>
    <row r="21" spans="1:5" ht="15.75">
      <c r="A21" s="98" t="s">
        <v>535</v>
      </c>
      <c r="B21" s="178" t="s">
        <v>514</v>
      </c>
      <c r="C21" s="11">
        <f>+'P&amp;L GROUP'!F207</f>
        <v>1188947</v>
      </c>
      <c r="D21" s="12">
        <v>400239</v>
      </c>
      <c r="E21" s="111"/>
    </row>
    <row r="22" spans="1:5" ht="15.75">
      <c r="A22" s="98" t="s">
        <v>536</v>
      </c>
      <c r="B22" s="178" t="s">
        <v>515</v>
      </c>
      <c r="C22" s="11">
        <f>+'P&amp;L GROUP'!F212-49138</f>
        <v>1459339</v>
      </c>
      <c r="D22" s="12">
        <v>1681948</v>
      </c>
      <c r="E22" s="111"/>
    </row>
    <row r="23" spans="1:5" ht="15.75">
      <c r="A23" s="98" t="s">
        <v>537</v>
      </c>
      <c r="B23" s="178" t="s">
        <v>516</v>
      </c>
      <c r="C23" s="11">
        <f>+'P&amp;L GROUP'!F214</f>
        <v>7111381</v>
      </c>
      <c r="D23" s="12">
        <v>3371779</v>
      </c>
      <c r="E23" s="111"/>
    </row>
    <row r="24" spans="1:5" ht="15.75">
      <c r="A24" s="98" t="s">
        <v>538</v>
      </c>
      <c r="B24" s="178" t="s">
        <v>517</v>
      </c>
      <c r="C24" s="11">
        <f>+'P&amp;L GROUP'!F217</f>
        <v>0</v>
      </c>
      <c r="D24" s="12">
        <v>190218</v>
      </c>
      <c r="E24" s="111"/>
    </row>
    <row r="25" spans="1:5" ht="15.75">
      <c r="A25" s="98" t="s">
        <v>539</v>
      </c>
      <c r="B25" s="178" t="s">
        <v>518</v>
      </c>
      <c r="C25" s="11">
        <f>+'P&amp;L GROUP'!F220</f>
        <v>1594239.75</v>
      </c>
      <c r="D25" s="12">
        <v>1365416</v>
      </c>
      <c r="E25" s="111"/>
    </row>
    <row r="26" spans="1:5" ht="15.75">
      <c r="A26" s="98" t="s">
        <v>540</v>
      </c>
      <c r="B26" s="178" t="s">
        <v>812</v>
      </c>
      <c r="C26" s="11">
        <f>+'P&amp;L GROUP'!F221</f>
        <v>1225318.45</v>
      </c>
      <c r="D26" s="12">
        <v>0</v>
      </c>
      <c r="E26" s="111"/>
    </row>
    <row r="27" spans="1:4" ht="15.75">
      <c r="A27" s="98" t="s">
        <v>541</v>
      </c>
      <c r="B27" s="178" t="s">
        <v>519</v>
      </c>
      <c r="C27" s="11">
        <v>0</v>
      </c>
      <c r="D27" s="12">
        <v>17306096</v>
      </c>
    </row>
    <row r="28" spans="1:4" ht="15.75">
      <c r="A28" s="98" t="s">
        <v>542</v>
      </c>
      <c r="B28" s="178" t="s">
        <v>520</v>
      </c>
      <c r="C28" s="11">
        <v>0</v>
      </c>
      <c r="D28" s="12">
        <v>7900602</v>
      </c>
    </row>
    <row r="29" spans="1:4" ht="15.75">
      <c r="A29" s="8"/>
      <c r="C29" s="157"/>
      <c r="D29" s="1"/>
    </row>
    <row r="30" spans="1:4" ht="16.5" thickBot="1">
      <c r="A30" s="385" t="s">
        <v>774</v>
      </c>
      <c r="B30" s="386"/>
      <c r="C30" s="34">
        <f>SUM(C6:C28)</f>
        <v>218939114.89999998</v>
      </c>
      <c r="D30" s="99">
        <f>SUM(D6:D28)</f>
        <v>202705534</v>
      </c>
    </row>
    <row r="32" ht="15.75">
      <c r="A32" s="2" t="s">
        <v>142</v>
      </c>
    </row>
    <row r="33" spans="1:4" ht="48" customHeight="1">
      <c r="A33" s="382" t="s">
        <v>143</v>
      </c>
      <c r="B33" s="382"/>
      <c r="C33" s="382"/>
      <c r="D33" s="382"/>
    </row>
    <row r="39" ht="15.75" hidden="1"/>
  </sheetData>
  <mergeCells count="4">
    <mergeCell ref="A2:D2"/>
    <mergeCell ref="A33:D33"/>
    <mergeCell ref="A5:B5"/>
    <mergeCell ref="A30:B30"/>
  </mergeCells>
  <printOptions horizontalCentered="1"/>
  <pageMargins left="0.75" right="0.75" top="1" bottom="1" header="0.5" footer="0.5"/>
  <pageSetup fitToHeight="1" fitToWidth="1" horizontalDpi="600" verticalDpi="600" orientation="landscape" paperSize="9" scale="82" r:id="rId1"/>
</worksheet>
</file>

<file path=xl/worksheets/sheet25.xml><?xml version="1.0" encoding="utf-8"?>
<worksheet xmlns="http://schemas.openxmlformats.org/spreadsheetml/2006/main" xmlns:r="http://schemas.openxmlformats.org/officeDocument/2006/relationships">
  <sheetPr>
    <pageSetUpPr fitToPage="1"/>
  </sheetPr>
  <dimension ref="A2:E26"/>
  <sheetViews>
    <sheetView view="pageBreakPreview" zoomScale="60" workbookViewId="0" topLeftCell="A1">
      <selection activeCell="A6" sqref="A6"/>
    </sheetView>
  </sheetViews>
  <sheetFormatPr defaultColWidth="9.140625" defaultRowHeight="12.75"/>
  <cols>
    <col min="1" max="1" width="23.421875" style="63" bestFit="1" customWidth="1"/>
    <col min="2" max="3" width="13.28125" style="63" bestFit="1" customWidth="1"/>
    <col min="4" max="4" width="10.8515625" style="63" bestFit="1" customWidth="1"/>
    <col min="5" max="5" width="2.140625" style="63" bestFit="1" customWidth="1"/>
    <col min="6" max="16384" width="9.140625" style="63" customWidth="1"/>
  </cols>
  <sheetData>
    <row r="2" spans="1:3" ht="15.75">
      <c r="A2" s="358" t="s">
        <v>930</v>
      </c>
      <c r="B2" s="358"/>
      <c r="C2" s="358"/>
    </row>
    <row r="3" spans="1:3" ht="15.75">
      <c r="A3" s="27"/>
      <c r="B3" s="27"/>
      <c r="C3" s="27"/>
    </row>
    <row r="4" ht="16.5" thickBot="1">
      <c r="C4" s="109" t="s">
        <v>122</v>
      </c>
    </row>
    <row r="5" spans="1:3" ht="31.5">
      <c r="A5" s="3" t="s">
        <v>10</v>
      </c>
      <c r="B5" s="6" t="s">
        <v>800</v>
      </c>
      <c r="C5" s="97" t="s">
        <v>784</v>
      </c>
    </row>
    <row r="6" spans="1:3" ht="15.75">
      <c r="A6" s="8"/>
      <c r="B6" s="9"/>
      <c r="C6" s="49"/>
    </row>
    <row r="7" spans="1:3" ht="15.75">
      <c r="A7" s="8" t="s">
        <v>938</v>
      </c>
      <c r="B7" s="11">
        <v>558892</v>
      </c>
      <c r="C7" s="1">
        <v>650004</v>
      </c>
    </row>
    <row r="8" spans="1:3" ht="15.75">
      <c r="A8" s="8"/>
      <c r="B8" s="11"/>
      <c r="C8" s="1"/>
    </row>
    <row r="9" spans="1:3" ht="16.5" thickBot="1">
      <c r="A9" s="28" t="s">
        <v>374</v>
      </c>
      <c r="B9" s="34">
        <f>SUM(B7:B7)</f>
        <v>558892</v>
      </c>
      <c r="C9" s="47">
        <f>SUM(C7:C7)</f>
        <v>650004</v>
      </c>
    </row>
    <row r="12" ht="15.75">
      <c r="E12" s="287"/>
    </row>
    <row r="13" ht="15.75">
      <c r="E13" s="287"/>
    </row>
    <row r="14" ht="15.75">
      <c r="E14" s="287"/>
    </row>
    <row r="15" ht="15.75">
      <c r="E15" s="287"/>
    </row>
    <row r="16" ht="15.75">
      <c r="E16" s="287"/>
    </row>
    <row r="17" ht="15.75">
      <c r="E17" s="287"/>
    </row>
    <row r="18" ht="15.75">
      <c r="E18" s="287"/>
    </row>
    <row r="19" ht="15.75">
      <c r="E19" s="287"/>
    </row>
    <row r="20" ht="15.75">
      <c r="E20" s="287"/>
    </row>
    <row r="21" ht="15.75">
      <c r="E21" s="287"/>
    </row>
    <row r="22" ht="15.75">
      <c r="E22" s="287"/>
    </row>
    <row r="23" ht="15.75">
      <c r="E23" s="287"/>
    </row>
    <row r="24" ht="15.75">
      <c r="E24" s="287"/>
    </row>
    <row r="25" ht="15.75">
      <c r="E25" s="287"/>
    </row>
    <row r="26" ht="15.75">
      <c r="E26" s="287"/>
    </row>
    <row r="38" ht="15.75" hidden="1"/>
  </sheetData>
  <mergeCells count="1">
    <mergeCell ref="A2:C2"/>
  </mergeCells>
  <printOptions horizontalCentered="1"/>
  <pageMargins left="0.75" right="0.75" top="1" bottom="1" header="0.5" footer="0.5"/>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F254"/>
  <sheetViews>
    <sheetView view="pageBreakPreview" zoomScale="60" workbookViewId="0" topLeftCell="A158">
      <selection activeCell="C207" sqref="C207"/>
    </sheetView>
  </sheetViews>
  <sheetFormatPr defaultColWidth="9.140625" defaultRowHeight="12.75"/>
  <cols>
    <col min="1" max="1" width="64.421875" style="5" bestFit="1" customWidth="1"/>
    <col min="2" max="2" width="8.8515625" style="5" bestFit="1" customWidth="1"/>
    <col min="3" max="3" width="18.28125" style="76" bestFit="1" customWidth="1"/>
    <col min="4" max="4" width="10.140625" style="76" bestFit="1" customWidth="1"/>
    <col min="5" max="5" width="16.140625" style="76" customWidth="1"/>
    <col min="6" max="6" width="18.28125" style="76" bestFit="1" customWidth="1"/>
    <col min="7" max="16384" width="9.140625" style="5" customWidth="1"/>
  </cols>
  <sheetData>
    <row r="1" spans="1:6" ht="15.75">
      <c r="A1" s="19" t="s">
        <v>10</v>
      </c>
      <c r="B1" s="159" t="s">
        <v>408</v>
      </c>
      <c r="C1" s="160" t="s">
        <v>222</v>
      </c>
      <c r="D1" s="160" t="s">
        <v>408</v>
      </c>
      <c r="E1" s="160" t="s">
        <v>816</v>
      </c>
      <c r="F1" s="160" t="s">
        <v>374</v>
      </c>
    </row>
    <row r="3" spans="1:5" ht="15.75">
      <c r="A3" s="161" t="s">
        <v>802</v>
      </c>
      <c r="B3" s="161"/>
      <c r="C3" s="162"/>
      <c r="D3" s="162"/>
      <c r="E3" s="162"/>
    </row>
    <row r="4" ht="15.75">
      <c r="A4" s="163"/>
    </row>
    <row r="5" spans="1:6" ht="15.75">
      <c r="A5" s="5" t="s">
        <v>803</v>
      </c>
      <c r="B5" s="76"/>
      <c r="C5" s="76">
        <f>-'GROUPINGS FINAL'!E271</f>
        <v>-133256557.87</v>
      </c>
      <c r="F5" s="76">
        <f>SUM(C5:E5)</f>
        <v>-133256557.87</v>
      </c>
    </row>
    <row r="6" ht="15.75">
      <c r="B6" s="76"/>
    </row>
    <row r="7" spans="1:2" ht="15.75">
      <c r="A7" s="164" t="s">
        <v>572</v>
      </c>
      <c r="B7" s="76"/>
    </row>
    <row r="8" spans="1:6" ht="15.75">
      <c r="A8" s="5" t="s">
        <v>804</v>
      </c>
      <c r="C8" s="76">
        <f>+'FINAL P&amp;L'!D27</f>
        <v>-199885038.38501883</v>
      </c>
      <c r="F8" s="76">
        <f>SUM(C8:E8)</f>
        <v>-199885038.38501883</v>
      </c>
    </row>
    <row r="9" spans="1:6" ht="15.75">
      <c r="A9" s="48" t="s">
        <v>805</v>
      </c>
      <c r="B9" s="165"/>
      <c r="C9" s="166">
        <f>SUM(C5:C8)</f>
        <v>-333141596.25501883</v>
      </c>
      <c r="D9" s="166"/>
      <c r="E9" s="166">
        <f>SUM(E5:E8)</f>
        <v>0</v>
      </c>
      <c r="F9" s="166">
        <f>SUM(F5:F8)</f>
        <v>-333141596.25501883</v>
      </c>
    </row>
    <row r="14" spans="1:6" ht="15.75">
      <c r="A14" s="358" t="s">
        <v>644</v>
      </c>
      <c r="B14" s="358"/>
      <c r="C14" s="358"/>
      <c r="D14" s="358"/>
      <c r="E14" s="358"/>
      <c r="F14" s="358"/>
    </row>
    <row r="15" spans="2:5" ht="15.75">
      <c r="B15" s="159"/>
      <c r="C15" s="160"/>
      <c r="D15" s="160"/>
      <c r="E15" s="167"/>
    </row>
    <row r="16" spans="1:5" ht="15.75">
      <c r="A16" s="168" t="s">
        <v>645</v>
      </c>
      <c r="B16" s="159"/>
      <c r="C16" s="160"/>
      <c r="D16" s="160"/>
      <c r="E16" s="167"/>
    </row>
    <row r="17" spans="2:5" ht="15.75">
      <c r="B17" s="159"/>
      <c r="C17" s="160"/>
      <c r="D17" s="160"/>
      <c r="E17" s="167"/>
    </row>
    <row r="18" spans="1:6" ht="15.75">
      <c r="A18" s="5" t="s">
        <v>102</v>
      </c>
      <c r="B18" s="54">
        <v>226</v>
      </c>
      <c r="C18" s="85">
        <f>-'GROUPINGS FINAL'!E137</f>
        <v>260502</v>
      </c>
      <c r="F18" s="76">
        <f aca="true" t="shared" si="0" ref="F18:F46">+E18+C18</f>
        <v>260502</v>
      </c>
    </row>
    <row r="19" spans="1:6" ht="15.75">
      <c r="A19" s="5" t="s">
        <v>279</v>
      </c>
      <c r="B19" s="54">
        <v>721</v>
      </c>
      <c r="C19" s="85">
        <f>-'GROUPINGS FINAL'!E289</f>
        <v>164259</v>
      </c>
      <c r="F19" s="76">
        <f t="shared" si="0"/>
        <v>164259</v>
      </c>
    </row>
    <row r="20" spans="1:6" ht="15.75">
      <c r="A20" s="5" t="s">
        <v>609</v>
      </c>
      <c r="B20" s="54">
        <v>734</v>
      </c>
      <c r="C20" s="85">
        <f>-'GROUPINGS FINAL'!E291</f>
        <v>32753</v>
      </c>
      <c r="F20" s="76">
        <f t="shared" si="0"/>
        <v>32753</v>
      </c>
    </row>
    <row r="21" spans="1:6" ht="15.75">
      <c r="A21" s="5" t="s">
        <v>283</v>
      </c>
      <c r="B21" s="54">
        <v>767</v>
      </c>
      <c r="C21" s="85">
        <f>-'GROUPINGS FINAL'!E294</f>
        <v>95543.3</v>
      </c>
      <c r="F21" s="76">
        <f t="shared" si="0"/>
        <v>95543.3</v>
      </c>
    </row>
    <row r="22" spans="1:6" ht="15.75">
      <c r="A22" s="5" t="s">
        <v>297</v>
      </c>
      <c r="B22" s="54">
        <v>835</v>
      </c>
      <c r="C22" s="85">
        <f>-'GROUPINGS FINAL'!E305</f>
        <v>29872</v>
      </c>
      <c r="F22" s="76">
        <f t="shared" si="0"/>
        <v>29872</v>
      </c>
    </row>
    <row r="23" spans="1:6" ht="15.75">
      <c r="A23" s="5" t="s">
        <v>611</v>
      </c>
      <c r="B23" s="54">
        <v>850</v>
      </c>
      <c r="C23" s="85">
        <f>-'GROUPINGS FINAL'!E306</f>
        <v>300</v>
      </c>
      <c r="F23" s="76">
        <f t="shared" si="0"/>
        <v>300</v>
      </c>
    </row>
    <row r="24" spans="1:6" ht="15.75">
      <c r="A24" s="5" t="s">
        <v>612</v>
      </c>
      <c r="B24" s="54">
        <v>863</v>
      </c>
      <c r="C24" s="85">
        <f>-'GROUPINGS FINAL'!E307</f>
        <v>223272</v>
      </c>
      <c r="F24" s="76">
        <f t="shared" si="0"/>
        <v>223272</v>
      </c>
    </row>
    <row r="25" spans="1:6" ht="15.75">
      <c r="A25" s="5" t="s">
        <v>613</v>
      </c>
      <c r="B25" s="54">
        <v>867</v>
      </c>
      <c r="C25" s="85">
        <f>-'GROUPINGS FINAL'!E308</f>
        <v>135848</v>
      </c>
      <c r="F25" s="76">
        <f t="shared" si="0"/>
        <v>135848</v>
      </c>
    </row>
    <row r="26" spans="1:6" ht="15.75">
      <c r="A26" s="5" t="s">
        <v>301</v>
      </c>
      <c r="B26" s="54">
        <v>870</v>
      </c>
      <c r="C26" s="85">
        <f>-'GROUPINGS FINAL'!E309</f>
        <v>52610</v>
      </c>
      <c r="F26" s="76">
        <f t="shared" si="0"/>
        <v>52610</v>
      </c>
    </row>
    <row r="27" spans="1:6" ht="15.75">
      <c r="A27" s="5" t="s">
        <v>614</v>
      </c>
      <c r="B27" s="54">
        <v>883</v>
      </c>
      <c r="C27" s="85">
        <f>-'GROUPINGS FINAL'!E312</f>
        <v>630530</v>
      </c>
      <c r="F27" s="76">
        <f t="shared" si="0"/>
        <v>630530</v>
      </c>
    </row>
    <row r="28" spans="1:6" ht="15.75">
      <c r="A28" s="5" t="s">
        <v>615</v>
      </c>
      <c r="B28" s="54">
        <v>933</v>
      </c>
      <c r="C28" s="85">
        <f>-'GROUPINGS FINAL'!E328</f>
        <v>200000</v>
      </c>
      <c r="F28" s="76">
        <f t="shared" si="0"/>
        <v>200000</v>
      </c>
    </row>
    <row r="29" spans="1:6" ht="15.75">
      <c r="A29" s="5" t="s">
        <v>617</v>
      </c>
      <c r="B29" s="54">
        <v>951</v>
      </c>
      <c r="C29" s="85">
        <f>-'GROUPINGS FINAL'!E332</f>
        <v>57040</v>
      </c>
      <c r="F29" s="76">
        <f t="shared" si="0"/>
        <v>57040</v>
      </c>
    </row>
    <row r="30" spans="1:6" ht="15.75">
      <c r="A30" s="5" t="s">
        <v>312</v>
      </c>
      <c r="B30" s="54">
        <v>952</v>
      </c>
      <c r="C30" s="85">
        <f>-'GROUPINGS FINAL'!E333</f>
        <v>45503</v>
      </c>
      <c r="F30" s="76">
        <f t="shared" si="0"/>
        <v>45503</v>
      </c>
    </row>
    <row r="31" spans="1:6" ht="15.75">
      <c r="A31" s="5" t="s">
        <v>618</v>
      </c>
      <c r="B31" s="54">
        <v>961</v>
      </c>
      <c r="C31" s="85">
        <f>-'GROUPINGS FINAL'!E335</f>
        <v>104040</v>
      </c>
      <c r="F31" s="76">
        <f t="shared" si="0"/>
        <v>104040</v>
      </c>
    </row>
    <row r="32" spans="1:6" ht="15.75">
      <c r="A32" s="5" t="s">
        <v>619</v>
      </c>
      <c r="B32" s="54">
        <v>966</v>
      </c>
      <c r="C32" s="85">
        <f>-'GROUPINGS FINAL'!E336</f>
        <v>7650</v>
      </c>
      <c r="F32" s="76">
        <f t="shared" si="0"/>
        <v>7650</v>
      </c>
    </row>
    <row r="33" spans="1:6" ht="15.75">
      <c r="A33" s="5" t="s">
        <v>620</v>
      </c>
      <c r="B33" s="54">
        <v>975</v>
      </c>
      <c r="C33" s="85">
        <f>-'GROUPINGS FINAL'!E341</f>
        <v>16743</v>
      </c>
      <c r="F33" s="76">
        <f t="shared" si="0"/>
        <v>16743</v>
      </c>
    </row>
    <row r="34" spans="1:6" ht="15.75">
      <c r="A34" s="5" t="s">
        <v>621</v>
      </c>
      <c r="B34" s="54">
        <v>981</v>
      </c>
      <c r="C34" s="85">
        <f>-'GROUPINGS FINAL'!E343</f>
        <v>35250</v>
      </c>
      <c r="F34" s="76">
        <f t="shared" si="0"/>
        <v>35250</v>
      </c>
    </row>
    <row r="35" spans="1:6" ht="15.75">
      <c r="A35" s="5" t="s">
        <v>622</v>
      </c>
      <c r="B35" s="54">
        <v>983</v>
      </c>
      <c r="C35" s="85">
        <f>-'GROUPINGS FINAL'!E345</f>
        <v>17853</v>
      </c>
      <c r="F35" s="76">
        <f t="shared" si="0"/>
        <v>17853</v>
      </c>
    </row>
    <row r="36" spans="1:6" ht="15.75">
      <c r="A36" s="5" t="s">
        <v>623</v>
      </c>
      <c r="B36" s="54">
        <v>992</v>
      </c>
      <c r="C36" s="85">
        <f>-'GROUPINGS FINAL'!E347</f>
        <v>4878</v>
      </c>
      <c r="F36" s="76">
        <f t="shared" si="0"/>
        <v>4878</v>
      </c>
    </row>
    <row r="37" spans="1:6" ht="15.75">
      <c r="A37" s="5" t="s">
        <v>624</v>
      </c>
      <c r="B37" s="54">
        <v>994</v>
      </c>
      <c r="C37" s="85">
        <f>-'GROUPINGS FINAL'!E349</f>
        <v>1020</v>
      </c>
      <c r="F37" s="76">
        <f t="shared" si="0"/>
        <v>1020</v>
      </c>
    </row>
    <row r="38" spans="1:6" ht="15.75">
      <c r="A38" s="5" t="s">
        <v>625</v>
      </c>
      <c r="B38" s="54">
        <v>998</v>
      </c>
      <c r="C38" s="85">
        <f>-'GROUPINGS FINAL'!E350</f>
        <v>223046</v>
      </c>
      <c r="F38" s="76">
        <f t="shared" si="0"/>
        <v>223046</v>
      </c>
    </row>
    <row r="39" spans="1:6" ht="15.75">
      <c r="A39" s="5" t="s">
        <v>626</v>
      </c>
      <c r="B39" s="54">
        <v>1536</v>
      </c>
      <c r="C39" s="85">
        <f>-'GROUPINGS FINAL'!E351</f>
        <v>20501</v>
      </c>
      <c r="F39" s="76">
        <f t="shared" si="0"/>
        <v>20501</v>
      </c>
    </row>
    <row r="40" spans="1:6" ht="15.75">
      <c r="A40" s="5" t="s">
        <v>627</v>
      </c>
      <c r="B40" s="54">
        <v>1610</v>
      </c>
      <c r="C40" s="85">
        <f>-'GROUPINGS FINAL'!E353</f>
        <v>10573</v>
      </c>
      <c r="F40" s="76">
        <f t="shared" si="0"/>
        <v>10573</v>
      </c>
    </row>
    <row r="41" spans="1:6" ht="15.75">
      <c r="A41" s="5" t="s">
        <v>628</v>
      </c>
      <c r="B41" s="54">
        <v>1613</v>
      </c>
      <c r="C41" s="85">
        <f>-'GROUPINGS FINAL'!E354</f>
        <v>271718</v>
      </c>
      <c r="F41" s="76">
        <f t="shared" si="0"/>
        <v>271718</v>
      </c>
    </row>
    <row r="42" spans="1:6" ht="15.75">
      <c r="A42" s="5" t="s">
        <v>629</v>
      </c>
      <c r="B42" s="54">
        <v>1617</v>
      </c>
      <c r="C42" s="85">
        <f>-'GROUPINGS FINAL'!E356</f>
        <v>41975</v>
      </c>
      <c r="F42" s="76">
        <f t="shared" si="0"/>
        <v>41975</v>
      </c>
    </row>
    <row r="43" spans="1:6" ht="15.75">
      <c r="A43" s="5" t="s">
        <v>332</v>
      </c>
      <c r="B43" s="54">
        <v>1631</v>
      </c>
      <c r="C43" s="85">
        <f>-'GROUPINGS FINAL'!E359</f>
        <v>553516</v>
      </c>
      <c r="F43" s="76">
        <f t="shared" si="0"/>
        <v>553516</v>
      </c>
    </row>
    <row r="44" spans="1:6" ht="15.75">
      <c r="A44" s="5" t="s">
        <v>630</v>
      </c>
      <c r="B44" s="54">
        <v>1632</v>
      </c>
      <c r="C44" s="85">
        <f>-'GROUPINGS FINAL'!E360</f>
        <v>17689</v>
      </c>
      <c r="F44" s="76">
        <f t="shared" si="0"/>
        <v>17689</v>
      </c>
    </row>
    <row r="45" spans="1:6" ht="15.75">
      <c r="A45" s="5" t="s">
        <v>631</v>
      </c>
      <c r="B45" s="54">
        <v>1670</v>
      </c>
      <c r="C45" s="85">
        <f>-'GROUPINGS FINAL'!E385</f>
        <v>23707</v>
      </c>
      <c r="F45" s="76">
        <f t="shared" si="0"/>
        <v>23707</v>
      </c>
    </row>
    <row r="46" spans="1:6" ht="15.75">
      <c r="A46" s="5" t="s">
        <v>635</v>
      </c>
      <c r="B46" s="54">
        <v>1675</v>
      </c>
      <c r="C46" s="85">
        <f>-'GROUPINGS FINAL'!E387</f>
        <v>10597</v>
      </c>
      <c r="F46" s="76">
        <f t="shared" si="0"/>
        <v>10597</v>
      </c>
    </row>
    <row r="47" spans="1:6" ht="15.75">
      <c r="A47" s="5" t="s">
        <v>868</v>
      </c>
      <c r="B47" s="54"/>
      <c r="D47" s="169">
        <v>753</v>
      </c>
      <c r="E47" s="76">
        <f>-'GROUPINGS FINAL'!E292</f>
        <v>101</v>
      </c>
      <c r="F47" s="85">
        <f>+E47+C47</f>
        <v>101</v>
      </c>
    </row>
    <row r="48" spans="1:6" ht="15.75">
      <c r="A48" s="5" t="s">
        <v>874</v>
      </c>
      <c r="B48" s="54"/>
      <c r="D48" s="169">
        <v>939</v>
      </c>
      <c r="E48" s="76">
        <f>-'GROUPINGS FINAL'!E329</f>
        <v>30265</v>
      </c>
      <c r="F48" s="85">
        <f>+E48+C48</f>
        <v>30265</v>
      </c>
    </row>
    <row r="49" spans="1:6" ht="15.75">
      <c r="A49" s="5" t="s">
        <v>877</v>
      </c>
      <c r="B49" s="54"/>
      <c r="D49" s="169">
        <v>980</v>
      </c>
      <c r="E49" s="76">
        <f>-'GROUPINGS FINAL'!E342</f>
        <v>0</v>
      </c>
      <c r="F49" s="85">
        <f>+E49+C49</f>
        <v>0</v>
      </c>
    </row>
    <row r="50" spans="2:4" ht="15.75">
      <c r="B50" s="54"/>
      <c r="D50" s="169"/>
    </row>
    <row r="51" spans="2:4" ht="15.75">
      <c r="B51" s="54"/>
      <c r="D51" s="169"/>
    </row>
    <row r="52" spans="1:2" ht="15.75">
      <c r="A52" s="168" t="s">
        <v>647</v>
      </c>
      <c r="B52" s="54"/>
    </row>
    <row r="53" spans="1:6" ht="15.75">
      <c r="A53" s="5" t="s">
        <v>636</v>
      </c>
      <c r="B53" s="54">
        <v>1671</v>
      </c>
      <c r="C53" s="76">
        <f>+'GROUPINGS FINAL'!E386</f>
        <v>520026</v>
      </c>
      <c r="F53" s="85">
        <f>SUM(C53:E53)</f>
        <v>520026</v>
      </c>
    </row>
    <row r="54" spans="1:6" ht="15.75">
      <c r="A54" s="5" t="s">
        <v>878</v>
      </c>
      <c r="B54" s="170">
        <v>982</v>
      </c>
      <c r="C54" s="76">
        <f>+'GROUPINGS FINAL'!E344</f>
        <v>29341</v>
      </c>
      <c r="F54" s="85">
        <f>SUM(C54:E54)</f>
        <v>29341</v>
      </c>
    </row>
    <row r="55" spans="1:6" ht="15.75">
      <c r="A55" s="5" t="s">
        <v>879</v>
      </c>
      <c r="B55" s="170">
        <v>986</v>
      </c>
      <c r="C55" s="76">
        <f>+'GROUPINGS FINAL'!E346</f>
        <v>8802</v>
      </c>
      <c r="F55" s="85">
        <f>SUM(C55:E55)</f>
        <v>8802</v>
      </c>
    </row>
    <row r="57" spans="1:6" ht="15.75">
      <c r="A57" s="171" t="s">
        <v>807</v>
      </c>
      <c r="C57" s="172">
        <f>SUM(C18:C52)-C53-C54-C55</f>
        <v>2730619.3</v>
      </c>
      <c r="D57" s="172"/>
      <c r="E57" s="172">
        <f>SUM(E18:E52)-E53-E54-E55</f>
        <v>30366</v>
      </c>
      <c r="F57" s="172">
        <f>SUM(F18:F52)-F53-F54-F55</f>
        <v>2760985.3</v>
      </c>
    </row>
    <row r="58" spans="1:6" ht="15.75">
      <c r="A58" s="168" t="s">
        <v>646</v>
      </c>
      <c r="E58" s="167"/>
      <c r="F58" s="167"/>
    </row>
    <row r="60" spans="1:6" ht="15.75">
      <c r="A60" s="173" t="s">
        <v>254</v>
      </c>
      <c r="B60" s="170">
        <v>648</v>
      </c>
      <c r="C60" s="76">
        <f>-'GROUPINGS FINAL'!E266</f>
        <v>1833346149.66</v>
      </c>
      <c r="F60" s="76">
        <f>SUM(C60:E60)</f>
        <v>1833346149.66</v>
      </c>
    </row>
    <row r="61" spans="1:6" ht="15.75">
      <c r="A61" s="173" t="s">
        <v>954</v>
      </c>
      <c r="B61" s="54"/>
      <c r="D61" s="169">
        <v>649</v>
      </c>
      <c r="E61" s="76">
        <f>-'GROUPINGS FINAL'!E267</f>
        <v>148403815.69</v>
      </c>
      <c r="F61" s="76">
        <f>+E61+C61</f>
        <v>148403815.69</v>
      </c>
    </row>
    <row r="62" spans="1:4" ht="15.75">
      <c r="A62" s="173"/>
      <c r="B62" s="54"/>
      <c r="D62" s="169"/>
    </row>
    <row r="63" spans="1:6" ht="15.75">
      <c r="A63" s="173"/>
      <c r="B63" s="54"/>
      <c r="C63" s="85">
        <f>SUM(C60:C61)</f>
        <v>1833346149.66</v>
      </c>
      <c r="D63" s="169"/>
      <c r="E63" s="85">
        <f>SUM(E60:E61)</f>
        <v>148403815.69</v>
      </c>
      <c r="F63" s="85">
        <f>SUM(F60:F61)</f>
        <v>1981749965.3500001</v>
      </c>
    </row>
    <row r="64" spans="1:4" ht="15.75">
      <c r="A64" s="173"/>
      <c r="B64" s="54"/>
      <c r="D64" s="169"/>
    </row>
    <row r="65" spans="1:6" ht="15.75">
      <c r="A65" s="173" t="s">
        <v>78</v>
      </c>
      <c r="B65" s="170">
        <v>159</v>
      </c>
      <c r="C65" s="76">
        <f>-'GROUPINGS FINAL'!E93</f>
        <v>3721.33</v>
      </c>
      <c r="F65" s="76">
        <f aca="true" t="shared" si="1" ref="F65:F80">SUM(C65:E65)</f>
        <v>3721.33</v>
      </c>
    </row>
    <row r="66" spans="1:6" ht="15.75">
      <c r="A66" s="5" t="s">
        <v>952</v>
      </c>
      <c r="B66" s="54"/>
      <c r="D66" s="169">
        <v>637</v>
      </c>
      <c r="E66" s="76">
        <f>-'GROUPINGS FINAL'!E263</f>
        <v>3569632.8</v>
      </c>
      <c r="F66" s="76">
        <f>+E66+C66</f>
        <v>3569632.8</v>
      </c>
    </row>
    <row r="67" spans="1:6" ht="15.75">
      <c r="A67" s="173" t="s">
        <v>232</v>
      </c>
      <c r="B67" s="170">
        <v>538</v>
      </c>
      <c r="C67" s="76">
        <f>-'GROUPINGS FINAL'!E243</f>
        <v>10791.64</v>
      </c>
      <c r="F67" s="76">
        <f t="shared" si="1"/>
        <v>10791.64</v>
      </c>
    </row>
    <row r="68" spans="1:6" ht="15.75">
      <c r="A68" s="173" t="s">
        <v>245</v>
      </c>
      <c r="B68" s="170">
        <v>609</v>
      </c>
      <c r="C68" s="76">
        <f>-'GROUPINGS FINAL'!E256</f>
        <v>1445695.8</v>
      </c>
      <c r="F68" s="76">
        <f t="shared" si="1"/>
        <v>1445695.8</v>
      </c>
    </row>
    <row r="69" spans="1:6" ht="15.75">
      <c r="A69" s="173" t="s">
        <v>246</v>
      </c>
      <c r="B69" s="170">
        <v>613</v>
      </c>
      <c r="C69" s="76">
        <f>-'GROUPINGS FINAL'!E257</f>
        <v>1922460.95</v>
      </c>
      <c r="F69" s="76">
        <f t="shared" si="1"/>
        <v>1922460.95</v>
      </c>
    </row>
    <row r="70" spans="1:6" ht="15.75">
      <c r="A70" s="173" t="s">
        <v>247</v>
      </c>
      <c r="B70" s="170">
        <v>617</v>
      </c>
      <c r="C70" s="76">
        <f>-'GROUPINGS FINAL'!E258+770451</f>
        <v>34163442.22</v>
      </c>
      <c r="F70" s="76">
        <f t="shared" si="1"/>
        <v>34163442.22</v>
      </c>
    </row>
    <row r="71" spans="1:6" ht="15.75">
      <c r="A71" s="173" t="s">
        <v>637</v>
      </c>
      <c r="B71" s="170">
        <v>623</v>
      </c>
      <c r="C71" s="76">
        <f>-'GROUPINGS FINAL'!E259</f>
        <v>19414461.51</v>
      </c>
      <c r="F71" s="76">
        <f t="shared" si="1"/>
        <v>19414461.51</v>
      </c>
    </row>
    <row r="72" spans="1:6" ht="15.75">
      <c r="A72" s="173" t="s">
        <v>638</v>
      </c>
      <c r="B72" s="170">
        <v>624</v>
      </c>
      <c r="C72" s="76">
        <f>-'GROUPINGS FINAL'!E260</f>
        <v>329185.06</v>
      </c>
      <c r="F72" s="76">
        <f t="shared" si="1"/>
        <v>329185.06</v>
      </c>
    </row>
    <row r="73" spans="1:6" ht="15.75">
      <c r="A73" s="173" t="s">
        <v>639</v>
      </c>
      <c r="B73" s="170">
        <v>634</v>
      </c>
      <c r="C73" s="76">
        <f>-'GROUPINGS FINAL'!E261</f>
        <v>453561.83</v>
      </c>
      <c r="F73" s="76">
        <f t="shared" si="1"/>
        <v>453561.83</v>
      </c>
    </row>
    <row r="74" spans="1:6" ht="15.75">
      <c r="A74" s="173" t="s">
        <v>251</v>
      </c>
      <c r="B74" s="170">
        <v>635</v>
      </c>
      <c r="C74" s="76">
        <f>-'GROUPINGS FINAL'!E262</f>
        <v>18580.31</v>
      </c>
      <c r="F74" s="76">
        <f t="shared" si="1"/>
        <v>18580.31</v>
      </c>
    </row>
    <row r="75" spans="1:6" ht="15.75">
      <c r="A75" s="173" t="s">
        <v>258</v>
      </c>
      <c r="B75" s="170">
        <v>660</v>
      </c>
      <c r="C75" s="76">
        <f>-'GROUPINGS FINAL'!E270</f>
        <v>201550</v>
      </c>
      <c r="F75" s="76">
        <f t="shared" si="1"/>
        <v>201550</v>
      </c>
    </row>
    <row r="76" spans="1:6" ht="15.75">
      <c r="A76" s="173" t="s">
        <v>266</v>
      </c>
      <c r="B76" s="170">
        <v>685</v>
      </c>
      <c r="C76" s="76">
        <f>-'GROUPINGS FINAL'!E279</f>
        <v>326400</v>
      </c>
      <c r="F76" s="76">
        <f t="shared" si="1"/>
        <v>326400</v>
      </c>
    </row>
    <row r="77" spans="1:6" ht="15.75">
      <c r="A77" s="173" t="s">
        <v>641</v>
      </c>
      <c r="B77" s="170">
        <v>968</v>
      </c>
      <c r="C77" s="76">
        <f>-'GROUPINGS FINAL'!E338</f>
        <v>452929</v>
      </c>
      <c r="F77" s="76">
        <f t="shared" si="1"/>
        <v>452929</v>
      </c>
    </row>
    <row r="78" spans="1:6" ht="15.75">
      <c r="A78" s="173" t="s">
        <v>642</v>
      </c>
      <c r="B78" s="170">
        <v>972</v>
      </c>
      <c r="C78" s="76">
        <f>-'GROUPINGS FINAL'!E340</f>
        <v>519686</v>
      </c>
      <c r="F78" s="76">
        <f t="shared" si="1"/>
        <v>519686</v>
      </c>
    </row>
    <row r="79" spans="1:6" ht="15.75">
      <c r="A79" s="173" t="s">
        <v>257</v>
      </c>
      <c r="B79" s="170">
        <v>651</v>
      </c>
      <c r="C79" s="76">
        <f>-'GROUPINGS FINAL'!E269</f>
        <v>10990433</v>
      </c>
      <c r="F79" s="76">
        <f t="shared" si="1"/>
        <v>10990433</v>
      </c>
    </row>
    <row r="80" spans="1:6" ht="15.75">
      <c r="A80" s="173" t="s">
        <v>643</v>
      </c>
      <c r="B80" s="170">
        <v>1727</v>
      </c>
      <c r="C80" s="76">
        <f>-'GROUPINGS FINAL'!E396</f>
        <v>1</v>
      </c>
      <c r="F80" s="76">
        <f t="shared" si="1"/>
        <v>1</v>
      </c>
    </row>
    <row r="81" ht="15.75">
      <c r="F81" s="174"/>
    </row>
    <row r="82" spans="1:6" ht="15.75">
      <c r="A82" s="171" t="s">
        <v>806</v>
      </c>
      <c r="C82" s="172">
        <f>SUM(C65:C80)</f>
        <v>70252899.65</v>
      </c>
      <c r="D82" s="172"/>
      <c r="E82" s="172">
        <f>SUM(E65:E80)</f>
        <v>3569632.8</v>
      </c>
      <c r="F82" s="172">
        <f>SUM(F65:F80)</f>
        <v>73822532.45</v>
      </c>
    </row>
    <row r="83" spans="3:6" ht="15.75">
      <c r="C83" s="172"/>
      <c r="D83" s="172"/>
      <c r="E83" s="172"/>
      <c r="F83" s="172"/>
    </row>
    <row r="84" spans="1:6" ht="15.75">
      <c r="A84" s="168" t="s">
        <v>808</v>
      </c>
      <c r="C84" s="172">
        <f>+C82+C57+C63</f>
        <v>1906329668.6100001</v>
      </c>
      <c r="D84" s="172"/>
      <c r="E84" s="172">
        <f>+E82+E57+E63</f>
        <v>152003814.49</v>
      </c>
      <c r="F84" s="172">
        <f>+F82+F57+F63</f>
        <v>2058333483.1000001</v>
      </c>
    </row>
    <row r="85" spans="3:6" ht="15.75">
      <c r="C85" s="172"/>
      <c r="D85" s="172"/>
      <c r="F85" s="174"/>
    </row>
    <row r="86" spans="1:4" ht="15.75">
      <c r="A86" s="359" t="s">
        <v>648</v>
      </c>
      <c r="B86" s="359"/>
      <c r="C86" s="359"/>
      <c r="D86" s="175"/>
    </row>
    <row r="88" spans="1:6" ht="15.75">
      <c r="A88" s="5" t="s">
        <v>649</v>
      </c>
      <c r="B88" s="54">
        <v>757</v>
      </c>
      <c r="C88" s="76">
        <v>23728714</v>
      </c>
      <c r="F88" s="76">
        <f>SUM(C88:E88)</f>
        <v>23728714</v>
      </c>
    </row>
    <row r="89" spans="1:6" ht="15.75">
      <c r="A89" s="5" t="s">
        <v>650</v>
      </c>
      <c r="B89" s="54">
        <v>1649</v>
      </c>
      <c r="C89" s="76">
        <f>+'GROUPINGS FINAL'!E371</f>
        <v>10226652</v>
      </c>
      <c r="F89" s="76">
        <f>SUM(C89:E89)</f>
        <v>10226652</v>
      </c>
    </row>
    <row r="90" ht="15.75">
      <c r="B90" s="54"/>
    </row>
    <row r="91" spans="1:6" ht="15.75">
      <c r="A91" s="5" t="s">
        <v>651</v>
      </c>
      <c r="B91" s="54">
        <v>1650</v>
      </c>
      <c r="C91" s="76">
        <f>+C92-C88-C89</f>
        <v>-3531783.4800000004</v>
      </c>
      <c r="F91" s="76">
        <f>-SUM(C91:E91)</f>
        <v>3531783.4800000004</v>
      </c>
    </row>
    <row r="92" spans="3:6" ht="15.75">
      <c r="C92" s="76">
        <f>-'GROUPINGS FINAL'!E293</f>
        <v>30423582.52</v>
      </c>
      <c r="F92" s="76">
        <f>+F88+F89-F91</f>
        <v>30423582.52</v>
      </c>
    </row>
    <row r="93" spans="1:4" ht="15.75">
      <c r="A93" s="359" t="s">
        <v>652</v>
      </c>
      <c r="B93" s="359"/>
      <c r="C93" s="359"/>
      <c r="D93" s="175"/>
    </row>
    <row r="95" spans="1:6" ht="15.75">
      <c r="A95" s="5" t="s">
        <v>653</v>
      </c>
      <c r="B95" s="54">
        <v>773</v>
      </c>
      <c r="C95" s="76">
        <f>-'GROUPINGS FINAL'!E297</f>
        <v>4084348</v>
      </c>
      <c r="D95" s="169"/>
      <c r="F95" s="76">
        <f>SUM(C95:E95)</f>
        <v>4084348</v>
      </c>
    </row>
    <row r="97" spans="1:4" ht="15.75">
      <c r="A97" s="358" t="s">
        <v>654</v>
      </c>
      <c r="B97" s="358"/>
      <c r="C97" s="358"/>
      <c r="D97" s="167"/>
    </row>
    <row r="99" spans="1:6" ht="15.75">
      <c r="A99" s="5" t="s">
        <v>655</v>
      </c>
      <c r="B99" s="54">
        <v>534</v>
      </c>
      <c r="C99" s="76">
        <f>-'GROUPINGS FINAL'!E414</f>
        <v>24545517.15</v>
      </c>
      <c r="D99" s="169">
        <v>941</v>
      </c>
      <c r="E99" s="76">
        <f>-'GROUPINGS FINAL'!E330</f>
        <v>707077.5</v>
      </c>
      <c r="F99" s="76">
        <f>+E99+C99</f>
        <v>25252594.65</v>
      </c>
    </row>
    <row r="101" spans="1:4" ht="15.75">
      <c r="A101" s="358" t="s">
        <v>577</v>
      </c>
      <c r="B101" s="358"/>
      <c r="C101" s="358"/>
      <c r="D101" s="167"/>
    </row>
    <row r="103" spans="1:6" ht="15.75">
      <c r="A103" s="5" t="s">
        <v>675</v>
      </c>
      <c r="B103" s="54">
        <v>1647</v>
      </c>
      <c r="C103" s="172">
        <f>+'GROUPINGS FINAL'!E369</f>
        <v>27945906</v>
      </c>
      <c r="F103" s="172">
        <f>SUM(C103:E103)</f>
        <v>27945906</v>
      </c>
    </row>
    <row r="104" spans="3:6" ht="15.75">
      <c r="C104" s="172"/>
      <c r="F104" s="172"/>
    </row>
    <row r="105" spans="1:6" ht="15.75">
      <c r="A105" s="5" t="s">
        <v>676</v>
      </c>
      <c r="B105" s="54">
        <v>1633</v>
      </c>
      <c r="C105" s="172">
        <f>+'GROUPINGS FINAL'!E361+'GROUPINGS FINAL'!E383</f>
        <v>188263394</v>
      </c>
      <c r="F105" s="172">
        <f>SUM(C105:E105)</f>
        <v>188263394</v>
      </c>
    </row>
    <row r="107" ht="15.75">
      <c r="A107" s="2" t="s">
        <v>656</v>
      </c>
    </row>
    <row r="108" spans="1:6" ht="15.75">
      <c r="A108" s="5" t="s">
        <v>657</v>
      </c>
      <c r="C108" s="76">
        <f>+'GROUPINGS FINAL'!E413</f>
        <v>2894166</v>
      </c>
      <c r="F108" s="76">
        <f aca="true" t="shared" si="2" ref="F108:F113">+E108+C108</f>
        <v>2894166</v>
      </c>
    </row>
    <row r="109" spans="1:6" ht="15.75">
      <c r="A109" s="5" t="s">
        <v>658</v>
      </c>
      <c r="B109" s="54">
        <v>543</v>
      </c>
      <c r="C109" s="76">
        <f>+'GROUPINGS FINAL'!E245</f>
        <v>75</v>
      </c>
      <c r="F109" s="76">
        <f t="shared" si="2"/>
        <v>75</v>
      </c>
    </row>
    <row r="110" spans="1:6" ht="15.75">
      <c r="A110" s="5" t="s">
        <v>659</v>
      </c>
      <c r="B110" s="54">
        <v>546</v>
      </c>
      <c r="C110" s="76">
        <f>+'GROUPINGS FINAL'!E246</f>
        <v>470</v>
      </c>
      <c r="F110" s="76">
        <f t="shared" si="2"/>
        <v>470</v>
      </c>
    </row>
    <row r="111" spans="1:6" ht="15.75">
      <c r="A111" s="5" t="s">
        <v>660</v>
      </c>
      <c r="B111" s="54">
        <v>547</v>
      </c>
      <c r="C111" s="76">
        <f>+'GROUPINGS FINAL'!E247</f>
        <v>136</v>
      </c>
      <c r="F111" s="76">
        <f t="shared" si="2"/>
        <v>136</v>
      </c>
    </row>
    <row r="112" spans="1:6" ht="15.75">
      <c r="A112" s="5" t="s">
        <v>661</v>
      </c>
      <c r="B112" s="54">
        <v>548</v>
      </c>
      <c r="C112" s="76">
        <f>+'GROUPINGS FINAL'!E248</f>
        <v>239</v>
      </c>
      <c r="F112" s="76">
        <f t="shared" si="2"/>
        <v>239</v>
      </c>
    </row>
    <row r="113" spans="1:6" ht="15.75">
      <c r="A113" s="5" t="s">
        <v>896</v>
      </c>
      <c r="B113" s="54"/>
      <c r="D113" s="169">
        <v>550</v>
      </c>
      <c r="E113" s="76">
        <f>+'GROUPINGS FINAL'!E249</f>
        <v>1011</v>
      </c>
      <c r="F113" s="76">
        <f t="shared" si="2"/>
        <v>1011</v>
      </c>
    </row>
    <row r="115" spans="1:6" ht="15.75">
      <c r="A115" s="168" t="s">
        <v>920</v>
      </c>
      <c r="C115" s="172">
        <f>SUM(C108:C114)</f>
        <v>2895086</v>
      </c>
      <c r="D115" s="172"/>
      <c r="E115" s="172">
        <f>SUM(E108:E114)</f>
        <v>1011</v>
      </c>
      <c r="F115" s="172">
        <f>SUM(F108:F114)</f>
        <v>2896097</v>
      </c>
    </row>
    <row r="117" ht="15.75">
      <c r="A117" s="2" t="s">
        <v>662</v>
      </c>
    </row>
    <row r="118" ht="15.75">
      <c r="A118" s="5" t="s">
        <v>677</v>
      </c>
    </row>
    <row r="120" spans="1:6" ht="15.75">
      <c r="A120" s="5" t="s">
        <v>663</v>
      </c>
      <c r="B120" s="54">
        <v>533</v>
      </c>
      <c r="C120" s="76">
        <f>+'GROUPINGS FINAL'!E241</f>
        <v>40077.44</v>
      </c>
      <c r="F120" s="76">
        <f>+E120+C120</f>
        <v>40077.44</v>
      </c>
    </row>
    <row r="121" spans="1:6" ht="15.75">
      <c r="A121" s="5" t="s">
        <v>664</v>
      </c>
      <c r="B121" s="54">
        <v>535</v>
      </c>
      <c r="C121" s="76">
        <f>+'GROUPINGS FINAL'!E242</f>
        <v>21734.13</v>
      </c>
      <c r="F121" s="76">
        <f>+E121+C121</f>
        <v>21734.13</v>
      </c>
    </row>
    <row r="122" spans="1:6" ht="15.75">
      <c r="A122" s="5" t="s">
        <v>673</v>
      </c>
      <c r="B122" s="54">
        <v>541</v>
      </c>
      <c r="C122" s="76">
        <f>+'GROUPINGS FINAL'!E244</f>
        <v>17255.95</v>
      </c>
      <c r="F122" s="76">
        <f>SUM(C122:E122)</f>
        <v>17255.95</v>
      </c>
    </row>
    <row r="123" spans="1:6" ht="15.75">
      <c r="A123" s="5" t="s">
        <v>897</v>
      </c>
      <c r="B123" s="54"/>
      <c r="D123" s="169">
        <v>1624</v>
      </c>
      <c r="E123" s="76">
        <f>+'GROUPINGS FINAL'!E358</f>
        <v>3822398</v>
      </c>
      <c r="F123" s="76">
        <f>+E123+C123</f>
        <v>3822398</v>
      </c>
    </row>
    <row r="124" spans="1:6" ht="15.75">
      <c r="A124" s="5" t="s">
        <v>402</v>
      </c>
      <c r="C124" s="85">
        <f>SUM(C120:C123)</f>
        <v>79067.52</v>
      </c>
      <c r="E124" s="85">
        <f>SUM(E120:E123)</f>
        <v>3822398</v>
      </c>
      <c r="F124" s="85">
        <f>SUM(F120:F123)</f>
        <v>3901465.52</v>
      </c>
    </row>
    <row r="125" ht="15.75">
      <c r="A125" s="5" t="s">
        <v>667</v>
      </c>
    </row>
    <row r="126" spans="1:6" ht="15.75">
      <c r="A126" s="5" t="s">
        <v>668</v>
      </c>
      <c r="B126" s="54">
        <v>525</v>
      </c>
      <c r="C126" s="76">
        <f>+'GROUPINGS FINAL'!E238-20000000</f>
        <v>200400000</v>
      </c>
      <c r="F126" s="76">
        <f>SUM(C126:E126)</f>
        <v>200400000</v>
      </c>
    </row>
    <row r="127" spans="1:6" ht="15.75">
      <c r="A127" s="5" t="s">
        <v>669</v>
      </c>
      <c r="B127" s="54">
        <v>1608</v>
      </c>
      <c r="C127" s="76">
        <f>+'GROUPINGS FINAL'!E352</f>
        <v>70000000</v>
      </c>
      <c r="F127" s="76">
        <f>SUM(C127:E127)</f>
        <v>70000000</v>
      </c>
    </row>
    <row r="128" spans="3:6" ht="15.75">
      <c r="C128" s="85">
        <f>SUM(C126:C127)</f>
        <v>270400000</v>
      </c>
      <c r="D128" s="85"/>
      <c r="E128" s="85">
        <f>SUM(E126:E127)</f>
        <v>0</v>
      </c>
      <c r="F128" s="85">
        <f>SUM(F126:F127)</f>
        <v>270400000</v>
      </c>
    </row>
    <row r="129" ht="15.75">
      <c r="A129" s="5" t="s">
        <v>670</v>
      </c>
    </row>
    <row r="130" spans="1:6" ht="15.75">
      <c r="A130" s="5" t="s">
        <v>671</v>
      </c>
      <c r="B130" s="54">
        <v>784</v>
      </c>
      <c r="C130" s="76">
        <f>+'GROUPINGS FINAL'!E301</f>
        <v>313109</v>
      </c>
      <c r="F130" s="76">
        <f>SUM(C130:E130)</f>
        <v>313109</v>
      </c>
    </row>
    <row r="131" spans="1:6" ht="15.75">
      <c r="A131" s="5" t="s">
        <v>666</v>
      </c>
      <c r="B131" s="54">
        <v>970</v>
      </c>
      <c r="C131" s="76">
        <f>'GROUPINGS FINAL'!E339</f>
        <v>413653</v>
      </c>
      <c r="F131" s="76">
        <f>+E131+C131</f>
        <v>413653</v>
      </c>
    </row>
    <row r="132" spans="1:6" ht="15.75">
      <c r="A132" s="5" t="s">
        <v>665</v>
      </c>
      <c r="B132" s="54">
        <v>701</v>
      </c>
      <c r="C132" s="76">
        <f>+'GROUPINGS FINAL'!E284</f>
        <v>1090178</v>
      </c>
      <c r="F132" s="76">
        <f>+E132+C132</f>
        <v>1090178</v>
      </c>
    </row>
    <row r="133" spans="1:6" ht="15.75">
      <c r="A133" s="5" t="s">
        <v>672</v>
      </c>
      <c r="B133" s="54">
        <v>881</v>
      </c>
      <c r="C133" s="76">
        <f>+'GROUPINGS FINAL'!E311</f>
        <v>715871.32</v>
      </c>
      <c r="F133" s="76">
        <f>SUM(C133:E133)</f>
        <v>715871.32</v>
      </c>
    </row>
    <row r="134" spans="3:6" ht="15.75">
      <c r="C134" s="85">
        <f>SUM(C130:C133)</f>
        <v>2532811.32</v>
      </c>
      <c r="E134" s="85">
        <f>SUM(E130:E133)</f>
        <v>0</v>
      </c>
      <c r="F134" s="85">
        <f>SUM(F130:F133)</f>
        <v>2532811.32</v>
      </c>
    </row>
    <row r="135" ht="15.75">
      <c r="A135" s="2" t="s">
        <v>674</v>
      </c>
    </row>
    <row r="136" spans="1:6" ht="15.75">
      <c r="A136" s="5" t="s">
        <v>891</v>
      </c>
      <c r="B136" s="54">
        <v>1742</v>
      </c>
      <c r="C136" s="76">
        <f>+'GROUPINGS FINAL'!E409</f>
        <v>9167507</v>
      </c>
      <c r="F136" s="76">
        <f>SUM(C136:E136)</f>
        <v>9167507</v>
      </c>
    </row>
    <row r="137" spans="1:6" ht="15.75">
      <c r="A137" s="173" t="s">
        <v>640</v>
      </c>
      <c r="B137" s="170">
        <v>828</v>
      </c>
      <c r="C137" s="76">
        <f>+'GROUPINGS FINAL'!E303</f>
        <v>326400</v>
      </c>
      <c r="F137" s="76">
        <f>SUM(C137:E137)</f>
        <v>326400</v>
      </c>
    </row>
    <row r="138" spans="3:6" ht="15.75">
      <c r="C138" s="85">
        <f>SUM(C136:C137)</f>
        <v>9493907</v>
      </c>
      <c r="E138" s="85">
        <f>SUM(E136:E137)</f>
        <v>0</v>
      </c>
      <c r="F138" s="85">
        <f>SUM(F136:F137)</f>
        <v>9493907</v>
      </c>
    </row>
    <row r="139" ht="15.75">
      <c r="A139" s="5" t="s">
        <v>678</v>
      </c>
    </row>
    <row r="140" ht="15.75">
      <c r="A140" s="176" t="s">
        <v>679</v>
      </c>
    </row>
    <row r="141" spans="1:6" ht="15.75">
      <c r="A141" s="5" t="s">
        <v>680</v>
      </c>
      <c r="B141" s="54">
        <v>141</v>
      </c>
      <c r="C141" s="76">
        <f>+'GROUPINGS FINAL'!E81</f>
        <v>250660</v>
      </c>
      <c r="D141" s="169"/>
      <c r="F141" s="76">
        <f>+E141+C141</f>
        <v>250660</v>
      </c>
    </row>
    <row r="142" spans="1:6" ht="15.75">
      <c r="A142" s="5" t="s">
        <v>681</v>
      </c>
      <c r="B142" s="54">
        <v>197</v>
      </c>
      <c r="C142" s="76">
        <f>+'GROUPINGS FINAL'!E114</f>
        <v>81243</v>
      </c>
      <c r="D142" s="169">
        <v>73</v>
      </c>
      <c r="E142" s="76">
        <f>+'GROUPINGS FINAL'!E43</f>
        <v>45000</v>
      </c>
      <c r="F142" s="76">
        <f aca="true" t="shared" si="3" ref="F142:F156">+E142+C142</f>
        <v>126243</v>
      </c>
    </row>
    <row r="143" spans="1:6" ht="15.75">
      <c r="A143" s="5" t="s">
        <v>682</v>
      </c>
      <c r="B143" s="54">
        <v>260</v>
      </c>
      <c r="C143" s="76">
        <f>+'GROUPINGS FINAL'!E146</f>
        <v>3819</v>
      </c>
      <c r="D143" s="169"/>
      <c r="F143" s="76">
        <f t="shared" si="3"/>
        <v>3819</v>
      </c>
    </row>
    <row r="144" spans="1:6" ht="15.75">
      <c r="A144" s="5" t="s">
        <v>683</v>
      </c>
      <c r="B144" s="54">
        <v>393</v>
      </c>
      <c r="D144" s="169"/>
      <c r="F144" s="76">
        <f t="shared" si="3"/>
        <v>0</v>
      </c>
    </row>
    <row r="145" spans="1:6" ht="15.75">
      <c r="A145" s="5" t="s">
        <v>189</v>
      </c>
      <c r="B145" s="54">
        <v>416</v>
      </c>
      <c r="C145" s="76">
        <f>+'GROUPINGS FINAL'!E197</f>
        <v>467390</v>
      </c>
      <c r="D145" s="169"/>
      <c r="F145" s="76">
        <f t="shared" si="3"/>
        <v>467390</v>
      </c>
    </row>
    <row r="146" spans="1:6" ht="15.75">
      <c r="A146" s="5" t="s">
        <v>684</v>
      </c>
      <c r="B146" s="54">
        <v>417</v>
      </c>
      <c r="D146" s="169"/>
      <c r="F146" s="76">
        <f t="shared" si="3"/>
        <v>0</v>
      </c>
    </row>
    <row r="147" spans="1:6" ht="15.75">
      <c r="A147" s="5" t="s">
        <v>685</v>
      </c>
      <c r="B147" s="54">
        <v>418</v>
      </c>
      <c r="D147" s="169"/>
      <c r="F147" s="76">
        <f t="shared" si="3"/>
        <v>0</v>
      </c>
    </row>
    <row r="148" spans="1:6" ht="15.75">
      <c r="A148" s="5" t="s">
        <v>240</v>
      </c>
      <c r="B148" s="54">
        <v>554</v>
      </c>
      <c r="C148" s="76">
        <f>+'GROUPINGS FINAL'!E251</f>
        <v>1804851</v>
      </c>
      <c r="D148" s="169"/>
      <c r="F148" s="76">
        <f t="shared" si="3"/>
        <v>1804851</v>
      </c>
    </row>
    <row r="149" spans="1:6" ht="15.75">
      <c r="A149" s="5" t="s">
        <v>686</v>
      </c>
      <c r="B149" s="54">
        <v>664</v>
      </c>
      <c r="D149" s="169"/>
      <c r="F149" s="76">
        <f t="shared" si="3"/>
        <v>0</v>
      </c>
    </row>
    <row r="150" spans="1:6" ht="15.75">
      <c r="A150" s="5" t="s">
        <v>687</v>
      </c>
      <c r="B150" s="54">
        <v>667</v>
      </c>
      <c r="D150" s="169"/>
      <c r="F150" s="76">
        <f t="shared" si="3"/>
        <v>0</v>
      </c>
    </row>
    <row r="151" spans="1:6" ht="15.75">
      <c r="A151" s="5" t="s">
        <v>688</v>
      </c>
      <c r="B151" s="54">
        <v>679</v>
      </c>
      <c r="C151" s="76">
        <f>+'GROUPINGS FINAL'!E277</f>
        <v>48005385</v>
      </c>
      <c r="D151" s="169"/>
      <c r="F151" s="76">
        <f t="shared" si="3"/>
        <v>48005385</v>
      </c>
    </row>
    <row r="152" spans="1:6" ht="15.75">
      <c r="A152" s="5" t="s">
        <v>689</v>
      </c>
      <c r="B152" s="54">
        <v>705</v>
      </c>
      <c r="C152" s="76">
        <f>+'GROUPINGS FINAL'!E285</f>
        <v>197460</v>
      </c>
      <c r="D152" s="169"/>
      <c r="F152" s="76">
        <f t="shared" si="3"/>
        <v>197460</v>
      </c>
    </row>
    <row r="153" spans="1:6" ht="15.75">
      <c r="A153" s="5" t="s">
        <v>690</v>
      </c>
      <c r="B153" s="54">
        <v>726</v>
      </c>
      <c r="D153" s="169"/>
      <c r="F153" s="76">
        <f t="shared" si="3"/>
        <v>0</v>
      </c>
    </row>
    <row r="154" spans="1:6" ht="15.75">
      <c r="A154" s="5" t="s">
        <v>691</v>
      </c>
      <c r="B154" s="54">
        <v>286</v>
      </c>
      <c r="C154" s="76">
        <f>+'GROUPINGS FINAL'!E154</f>
        <v>3562</v>
      </c>
      <c r="D154" s="169"/>
      <c r="F154" s="76">
        <f t="shared" si="3"/>
        <v>3562</v>
      </c>
    </row>
    <row r="155" spans="1:6" ht="15.75">
      <c r="A155" s="5" t="s">
        <v>293</v>
      </c>
      <c r="B155" s="54">
        <v>826</v>
      </c>
      <c r="C155" s="76">
        <f>+'GROUPINGS FINAL'!E302</f>
        <v>677841</v>
      </c>
      <c r="D155" s="169"/>
      <c r="F155" s="76">
        <f t="shared" si="3"/>
        <v>677841</v>
      </c>
    </row>
    <row r="156" spans="1:6" ht="15.75">
      <c r="A156" s="5" t="s">
        <v>692</v>
      </c>
      <c r="B156" s="54">
        <v>663</v>
      </c>
      <c r="D156" s="169"/>
      <c r="F156" s="76">
        <f t="shared" si="3"/>
        <v>0</v>
      </c>
    </row>
    <row r="157" spans="3:6" ht="15.75">
      <c r="C157" s="85">
        <f>SUM(C141:C156)</f>
        <v>51492211</v>
      </c>
      <c r="D157" s="169"/>
      <c r="E157" s="85">
        <f>SUM(E141:E156)</f>
        <v>45000</v>
      </c>
      <c r="F157" s="85">
        <f>SUM(F141:F156)</f>
        <v>51537211</v>
      </c>
    </row>
    <row r="158" spans="1:4" ht="31.5">
      <c r="A158" s="177" t="s">
        <v>693</v>
      </c>
      <c r="D158" s="169"/>
    </row>
    <row r="159" spans="1:4" ht="15.75">
      <c r="A159" s="178" t="s">
        <v>694</v>
      </c>
      <c r="D159" s="169"/>
    </row>
    <row r="160" spans="1:6" ht="15.75">
      <c r="A160" s="179" t="s">
        <v>696</v>
      </c>
      <c r="B160" s="54"/>
      <c r="D160" s="169">
        <v>82</v>
      </c>
      <c r="F160" s="76">
        <f>+E160+C160</f>
        <v>0</v>
      </c>
    </row>
    <row r="161" spans="1:6" ht="15.75">
      <c r="A161" s="178" t="s">
        <v>697</v>
      </c>
      <c r="B161" s="54"/>
      <c r="D161" s="169">
        <v>106</v>
      </c>
      <c r="E161" s="76">
        <f>+'GROUPINGS FINAL'!E62</f>
        <v>24697.39</v>
      </c>
      <c r="F161" s="76">
        <f aca="true" t="shared" si="4" ref="F161:F174">+E161+C161</f>
        <v>24697.39</v>
      </c>
    </row>
    <row r="162" spans="1:6" ht="15.75">
      <c r="A162" s="178" t="s">
        <v>898</v>
      </c>
      <c r="B162" s="54"/>
      <c r="D162" s="169">
        <v>48</v>
      </c>
      <c r="E162" s="76">
        <f>+'GROUPINGS FINAL'!E32</f>
        <v>1402762</v>
      </c>
      <c r="F162" s="76">
        <f t="shared" si="4"/>
        <v>1402762</v>
      </c>
    </row>
    <row r="163" spans="1:6" ht="15.75">
      <c r="A163" s="5" t="s">
        <v>899</v>
      </c>
      <c r="B163" s="54"/>
      <c r="D163" s="169">
        <v>49</v>
      </c>
      <c r="E163" s="76">
        <f>+'GROUPINGS FINAL'!E33</f>
        <v>390494</v>
      </c>
      <c r="F163" s="76">
        <f t="shared" si="4"/>
        <v>390494</v>
      </c>
    </row>
    <row r="164" spans="1:6" ht="15.75">
      <c r="A164" s="5" t="s">
        <v>698</v>
      </c>
      <c r="B164" s="54">
        <v>176</v>
      </c>
      <c r="C164" s="76">
        <f>+'GROUPINGS FINAL'!E105</f>
        <v>446662</v>
      </c>
      <c r="D164" s="169"/>
      <c r="F164" s="76">
        <f t="shared" si="4"/>
        <v>446662</v>
      </c>
    </row>
    <row r="165" spans="1:6" ht="15.75">
      <c r="A165" s="5" t="s">
        <v>695</v>
      </c>
      <c r="B165" s="54">
        <v>177</v>
      </c>
      <c r="C165" s="76">
        <v>0</v>
      </c>
      <c r="D165" s="169"/>
      <c r="F165" s="76">
        <f t="shared" si="4"/>
        <v>0</v>
      </c>
    </row>
    <row r="166" spans="1:6" ht="15.75">
      <c r="A166" s="5" t="s">
        <v>699</v>
      </c>
      <c r="B166" s="54">
        <v>206</v>
      </c>
      <c r="C166" s="76">
        <f>+'GROUPINGS FINAL'!E122</f>
        <v>1877196</v>
      </c>
      <c r="D166" s="169"/>
      <c r="F166" s="76">
        <f t="shared" si="4"/>
        <v>1877196</v>
      </c>
    </row>
    <row r="167" spans="1:6" ht="15.75">
      <c r="A167" s="5" t="s">
        <v>900</v>
      </c>
      <c r="B167" s="54"/>
      <c r="D167" s="169">
        <v>417</v>
      </c>
      <c r="E167" s="76">
        <f>+'GROUPINGS FINAL'!E198</f>
        <v>19050</v>
      </c>
      <c r="F167" s="76">
        <f t="shared" si="4"/>
        <v>19050</v>
      </c>
    </row>
    <row r="168" spans="1:6" ht="15.75">
      <c r="A168" s="5" t="s">
        <v>901</v>
      </c>
      <c r="B168" s="54"/>
      <c r="D168" s="169">
        <v>475</v>
      </c>
      <c r="F168" s="76">
        <f t="shared" si="4"/>
        <v>0</v>
      </c>
    </row>
    <row r="169" spans="1:6" ht="15.75">
      <c r="A169" s="5" t="s">
        <v>700</v>
      </c>
      <c r="B169" s="54">
        <v>527</v>
      </c>
      <c r="D169" s="169"/>
      <c r="F169" s="76">
        <f t="shared" si="4"/>
        <v>0</v>
      </c>
    </row>
    <row r="170" spans="1:6" ht="15.75">
      <c r="A170" s="5" t="s">
        <v>701</v>
      </c>
      <c r="B170" s="54">
        <v>553</v>
      </c>
      <c r="C170" s="76">
        <f>+'GROUPINGS FINAL'!E250</f>
        <v>15955918</v>
      </c>
      <c r="D170" s="169"/>
      <c r="F170" s="76">
        <f t="shared" si="4"/>
        <v>15955918</v>
      </c>
    </row>
    <row r="171" spans="1:6" ht="15.75">
      <c r="A171" s="5" t="s">
        <v>262</v>
      </c>
      <c r="B171" s="54">
        <v>671</v>
      </c>
      <c r="C171" s="76">
        <f>+'GROUPINGS FINAL'!E274</f>
        <v>876900</v>
      </c>
      <c r="D171" s="169"/>
      <c r="F171" s="76">
        <f t="shared" si="4"/>
        <v>876900</v>
      </c>
    </row>
    <row r="172" spans="1:6" ht="15.75">
      <c r="A172" s="5" t="s">
        <v>702</v>
      </c>
      <c r="B172" s="54">
        <v>674</v>
      </c>
      <c r="D172" s="169"/>
      <c r="F172" s="76">
        <f t="shared" si="4"/>
        <v>0</v>
      </c>
    </row>
    <row r="173" spans="1:6" ht="15.75">
      <c r="A173" s="5" t="s">
        <v>703</v>
      </c>
      <c r="B173" s="54">
        <v>240</v>
      </c>
      <c r="D173" s="169"/>
      <c r="F173" s="76">
        <f t="shared" si="4"/>
        <v>0</v>
      </c>
    </row>
    <row r="174" spans="1:6" ht="15.75">
      <c r="A174" s="5" t="s">
        <v>704</v>
      </c>
      <c r="B174" s="54"/>
      <c r="D174" s="169">
        <v>672</v>
      </c>
      <c r="E174" s="76">
        <f>+'GROUPINGS FINAL'!E275</f>
        <v>10000</v>
      </c>
      <c r="F174" s="76">
        <f t="shared" si="4"/>
        <v>10000</v>
      </c>
    </row>
    <row r="175" spans="1:4" ht="15.75">
      <c r="A175" s="5" t="s">
        <v>402</v>
      </c>
      <c r="D175" s="169"/>
    </row>
    <row r="176" spans="3:6" ht="15.75">
      <c r="C176" s="85">
        <f>SUM(C159:C174)</f>
        <v>19156676</v>
      </c>
      <c r="D176" s="169"/>
      <c r="E176" s="85">
        <f>SUM(E159:E174)</f>
        <v>1847003.39</v>
      </c>
      <c r="F176" s="85">
        <f>SUM(F159:F174)</f>
        <v>21003679.39</v>
      </c>
    </row>
    <row r="177" ht="15.75">
      <c r="A177" s="5" t="s">
        <v>705</v>
      </c>
    </row>
    <row r="178" spans="1:6" ht="15.75">
      <c r="A178" s="5" t="s">
        <v>706</v>
      </c>
      <c r="B178" s="54">
        <v>1636</v>
      </c>
      <c r="C178" s="76">
        <f>+'GROUPINGS FINAL'!E364</f>
        <v>9190811</v>
      </c>
      <c r="D178" s="169">
        <v>1733</v>
      </c>
      <c r="E178" s="76">
        <f>+'GROUPINGS FINAL'!E402</f>
        <v>1581609</v>
      </c>
      <c r="F178" s="85">
        <f>+E178+C178</f>
        <v>10772420</v>
      </c>
    </row>
    <row r="180" ht="15.75">
      <c r="A180" s="5" t="s">
        <v>707</v>
      </c>
    </row>
    <row r="181" spans="1:6" ht="15.75">
      <c r="A181" s="5" t="s">
        <v>902</v>
      </c>
      <c r="B181" s="54">
        <v>697</v>
      </c>
      <c r="C181" s="76">
        <f>+'GROUPINGS FINAL'!E281</f>
        <v>2197293.66</v>
      </c>
      <c r="D181" s="169">
        <v>698</v>
      </c>
      <c r="E181" s="76">
        <f>+'GROUPINGS FINAL'!E282</f>
        <v>3975298</v>
      </c>
      <c r="F181" s="76">
        <f>+E181+C181</f>
        <v>6172591.66</v>
      </c>
    </row>
    <row r="182" spans="1:6" ht="15.75">
      <c r="A182" s="5" t="s">
        <v>273</v>
      </c>
      <c r="B182" s="54">
        <v>699</v>
      </c>
      <c r="C182" s="76">
        <f>+'GROUPINGS FINAL'!E283</f>
        <v>105120</v>
      </c>
      <c r="F182" s="76">
        <f>+E182+C182</f>
        <v>105120</v>
      </c>
    </row>
    <row r="183" spans="3:6" ht="15.75">
      <c r="C183" s="85">
        <f>SUM(C181:C182)</f>
        <v>2302413.66</v>
      </c>
      <c r="E183" s="85">
        <f>SUM(E181:E182)</f>
        <v>3975298</v>
      </c>
      <c r="F183" s="85">
        <f>SUM(F181:F182)</f>
        <v>6277711.66</v>
      </c>
    </row>
    <row r="185" ht="15.75">
      <c r="A185" s="5" t="s">
        <v>708</v>
      </c>
    </row>
    <row r="186" spans="1:6" ht="15.75">
      <c r="A186" s="5" t="s">
        <v>709</v>
      </c>
      <c r="B186" s="54">
        <v>1639</v>
      </c>
      <c r="C186" s="76">
        <f>+'GROUPINGS FINAL'!E365</f>
        <v>3141363</v>
      </c>
      <c r="F186" s="85">
        <f>SUM(C186:E186)</f>
        <v>3141363</v>
      </c>
    </row>
    <row r="188" ht="15.75">
      <c r="A188" s="5" t="s">
        <v>710</v>
      </c>
    </row>
    <row r="189" ht="15.75">
      <c r="A189" s="5" t="s">
        <v>711</v>
      </c>
    </row>
    <row r="190" spans="1:6" ht="15.75">
      <c r="A190" s="5" t="s">
        <v>255</v>
      </c>
      <c r="B190" s="54">
        <v>650</v>
      </c>
      <c r="C190" s="76">
        <f>+'GROUPINGS FINAL'!E268</f>
        <v>45325</v>
      </c>
      <c r="F190" s="76">
        <f>SUM(C190:E190)</f>
        <v>45325</v>
      </c>
    </row>
    <row r="191" spans="1:6" ht="15.75">
      <c r="A191" s="5" t="s">
        <v>712</v>
      </c>
      <c r="B191" s="54">
        <v>693</v>
      </c>
      <c r="C191" s="76">
        <f>+'GROUPINGS FINAL'!E280</f>
        <v>2342</v>
      </c>
      <c r="F191" s="76">
        <f>SUM(C191:E191)</f>
        <v>2342</v>
      </c>
    </row>
    <row r="192" spans="3:6" ht="15.75">
      <c r="C192" s="85">
        <f>SUM(C190:C191)</f>
        <v>47667</v>
      </c>
      <c r="E192" s="85">
        <f>SUM(E190:E191)</f>
        <v>0</v>
      </c>
      <c r="F192" s="85">
        <f>SUM(F190:F191)</f>
        <v>47667</v>
      </c>
    </row>
    <row r="193" ht="15.75">
      <c r="A193" s="5" t="s">
        <v>713</v>
      </c>
    </row>
    <row r="195" spans="1:6" ht="15.75">
      <c r="A195" s="168" t="s">
        <v>809</v>
      </c>
      <c r="C195" s="172">
        <f>+C103+C105+C115+C124+C128+C134+C138+C178+C183+C186+C192+C157+C176</f>
        <v>586941313.5</v>
      </c>
      <c r="D195" s="172"/>
      <c r="E195" s="172">
        <f>+E103+E105+E115+E124+E128+E134+E138+E178+E183+E186+E192+E157+E176</f>
        <v>11272319.39</v>
      </c>
      <c r="F195" s="172">
        <f>+F103+F105+F115+F124+F128+F134+F138+F178+F183+F186+F192+F157+F176</f>
        <v>598213632.89</v>
      </c>
    </row>
    <row r="196" ht="15.75">
      <c r="A196" s="168"/>
    </row>
    <row r="197" ht="15.75">
      <c r="A197" s="168"/>
    </row>
    <row r="198" ht="15.75">
      <c r="A198" s="2" t="s">
        <v>714</v>
      </c>
    </row>
    <row r="199" ht="15.75">
      <c r="A199" s="2" t="s">
        <v>715</v>
      </c>
    </row>
    <row r="200" spans="1:6" ht="15.75">
      <c r="A200" s="5" t="s">
        <v>716</v>
      </c>
      <c r="B200" s="54">
        <v>105</v>
      </c>
      <c r="C200" s="76">
        <f>-'GROUPINGS FINAL'!E61</f>
        <v>1416</v>
      </c>
      <c r="F200" s="76">
        <f>+E200+C200</f>
        <v>1416</v>
      </c>
    </row>
    <row r="201" spans="1:6" ht="15.75">
      <c r="A201" s="5" t="s">
        <v>717</v>
      </c>
      <c r="B201" s="54">
        <v>418</v>
      </c>
      <c r="C201" s="76">
        <f>-'GROUPINGS FINAL'!E199</f>
        <v>2816</v>
      </c>
      <c r="F201" s="76">
        <f aca="true" t="shared" si="5" ref="F201:F214">+E201+C201</f>
        <v>2816</v>
      </c>
    </row>
    <row r="202" spans="1:6" ht="15.75">
      <c r="A202" s="5" t="s">
        <v>892</v>
      </c>
      <c r="B202" s="54">
        <v>1743</v>
      </c>
      <c r="C202" s="76">
        <f>-'GROUPINGS FINAL'!E410-1026648</f>
        <v>0</v>
      </c>
      <c r="F202" s="76">
        <f t="shared" si="5"/>
        <v>0</v>
      </c>
    </row>
    <row r="203" spans="1:6" ht="15.75">
      <c r="A203" s="5" t="s">
        <v>718</v>
      </c>
      <c r="B203" s="54">
        <v>401</v>
      </c>
      <c r="C203" s="76">
        <f>-'GROUPINGS FINAL'!E189</f>
        <v>1820677</v>
      </c>
      <c r="F203" s="76">
        <f t="shared" si="5"/>
        <v>1820677</v>
      </c>
    </row>
    <row r="204" spans="1:6" ht="15.75">
      <c r="A204" s="5" t="s">
        <v>903</v>
      </c>
      <c r="B204" s="54"/>
      <c r="D204" s="169">
        <v>52</v>
      </c>
      <c r="E204" s="76">
        <f>-'GROUPINGS FINAL'!E34</f>
        <v>39</v>
      </c>
      <c r="F204" s="76">
        <f t="shared" si="5"/>
        <v>39</v>
      </c>
    </row>
    <row r="205" spans="1:6" ht="15.75">
      <c r="A205" s="5" t="s">
        <v>719</v>
      </c>
      <c r="B205" s="54">
        <v>413</v>
      </c>
      <c r="C205" s="76">
        <f>-'GROUPINGS FINAL'!E196</f>
        <v>15571</v>
      </c>
      <c r="F205" s="76">
        <f t="shared" si="5"/>
        <v>15571</v>
      </c>
    </row>
    <row r="206" spans="1:6" ht="15.75">
      <c r="A206" s="5" t="s">
        <v>720</v>
      </c>
      <c r="B206" s="54">
        <v>419</v>
      </c>
      <c r="F206" s="76">
        <f t="shared" si="5"/>
        <v>0</v>
      </c>
    </row>
    <row r="207" spans="1:6" ht="15.75">
      <c r="A207" s="5" t="s">
        <v>721</v>
      </c>
      <c r="B207" s="54">
        <v>420</v>
      </c>
      <c r="F207" s="76">
        <f t="shared" si="5"/>
        <v>0</v>
      </c>
    </row>
    <row r="208" spans="1:6" ht="15.75">
      <c r="A208" s="5" t="s">
        <v>722</v>
      </c>
      <c r="B208" s="54">
        <v>421</v>
      </c>
      <c r="F208" s="76">
        <f t="shared" si="5"/>
        <v>0</v>
      </c>
    </row>
    <row r="209" spans="1:6" ht="15.75">
      <c r="A209" s="5" t="s">
        <v>723</v>
      </c>
      <c r="B209" s="54">
        <v>422</v>
      </c>
      <c r="C209" s="76">
        <f>-'GROUPINGS FINAL'!E200</f>
        <v>11000</v>
      </c>
      <c r="F209" s="76">
        <f t="shared" si="5"/>
        <v>11000</v>
      </c>
    </row>
    <row r="210" spans="1:6" ht="15.75">
      <c r="A210" s="5" t="s">
        <v>724</v>
      </c>
      <c r="B210" s="54">
        <v>513</v>
      </c>
      <c r="F210" s="76">
        <f t="shared" si="5"/>
        <v>0</v>
      </c>
    </row>
    <row r="211" spans="1:6" ht="15.75">
      <c r="A211" s="5" t="s">
        <v>725</v>
      </c>
      <c r="B211" s="54">
        <v>1687</v>
      </c>
      <c r="C211" s="76">
        <f>-'GROUPINGS FINAL'!E389</f>
        <v>199653</v>
      </c>
      <c r="F211" s="76">
        <f t="shared" si="5"/>
        <v>199653</v>
      </c>
    </row>
    <row r="212" spans="1:6" ht="15.75">
      <c r="A212" s="5" t="s">
        <v>726</v>
      </c>
      <c r="B212" s="54">
        <v>403</v>
      </c>
      <c r="C212" s="76">
        <f>-'GROUPINGS FINAL'!E190</f>
        <v>616</v>
      </c>
      <c r="F212" s="76">
        <f t="shared" si="5"/>
        <v>616</v>
      </c>
    </row>
    <row r="213" spans="1:6" ht="15.75">
      <c r="A213" s="5" t="s">
        <v>727</v>
      </c>
      <c r="B213" s="54">
        <v>409</v>
      </c>
      <c r="C213" s="76">
        <f>-'GROUPINGS FINAL'!E193</f>
        <v>4073</v>
      </c>
      <c r="F213" s="76">
        <f t="shared" si="5"/>
        <v>4073</v>
      </c>
    </row>
    <row r="214" spans="1:6" ht="15.75">
      <c r="A214" s="5" t="s">
        <v>728</v>
      </c>
      <c r="B214" s="54">
        <v>424</v>
      </c>
      <c r="C214" s="76">
        <f>-'GROUPINGS FINAL'!E201</f>
        <v>4880</v>
      </c>
      <c r="F214" s="76">
        <f t="shared" si="5"/>
        <v>4880</v>
      </c>
    </row>
    <row r="215" spans="3:6" ht="15.75">
      <c r="C215" s="85">
        <f>SUM(C200:C214)</f>
        <v>2060702</v>
      </c>
      <c r="E215" s="85">
        <f>SUM(E200:E214)</f>
        <v>39</v>
      </c>
      <c r="F215" s="85">
        <f>SUM(F200:F214)</f>
        <v>2060741</v>
      </c>
    </row>
    <row r="216" ht="15.75">
      <c r="A216" s="2" t="s">
        <v>729</v>
      </c>
    </row>
    <row r="217" spans="1:6" ht="15.75">
      <c r="A217" s="5" t="s">
        <v>730</v>
      </c>
      <c r="B217" s="54">
        <v>233</v>
      </c>
      <c r="C217" s="76">
        <f>-'GROUPINGS FINAL'!E138</f>
        <v>1008165.5</v>
      </c>
      <c r="F217" s="76">
        <f aca="true" t="shared" si="6" ref="F217:F222">SUM(C217:E217)</f>
        <v>1008165.5</v>
      </c>
    </row>
    <row r="218" spans="1:6" ht="15.75">
      <c r="A218" s="5" t="s">
        <v>731</v>
      </c>
      <c r="B218" s="54">
        <v>428</v>
      </c>
      <c r="C218" s="76">
        <f>-'GROUPINGS FINAL'!E202</f>
        <v>2284</v>
      </c>
      <c r="F218" s="76">
        <f t="shared" si="6"/>
        <v>2284</v>
      </c>
    </row>
    <row r="219" spans="1:6" ht="15.75">
      <c r="A219" s="5" t="s">
        <v>732</v>
      </c>
      <c r="B219" s="54">
        <v>429</v>
      </c>
      <c r="C219" s="76">
        <f>-'GROUPINGS FINAL'!E203</f>
        <v>1697901</v>
      </c>
      <c r="F219" s="76">
        <f t="shared" si="6"/>
        <v>1697901</v>
      </c>
    </row>
    <row r="220" spans="1:6" ht="15.75">
      <c r="A220" s="5" t="s">
        <v>733</v>
      </c>
      <c r="B220" s="54">
        <v>431</v>
      </c>
      <c r="C220" s="76">
        <f>-'GROUPINGS FINAL'!E204</f>
        <v>574490</v>
      </c>
      <c r="F220" s="76">
        <f t="shared" si="6"/>
        <v>574490</v>
      </c>
    </row>
    <row r="221" spans="1:6" ht="15.75">
      <c r="A221" s="5" t="s">
        <v>734</v>
      </c>
      <c r="B221" s="54">
        <v>432</v>
      </c>
      <c r="F221" s="76">
        <f t="shared" si="6"/>
        <v>0</v>
      </c>
    </row>
    <row r="222" spans="1:6" ht="15.75">
      <c r="A222" s="5" t="s">
        <v>735</v>
      </c>
      <c r="B222" s="54">
        <v>433</v>
      </c>
      <c r="F222" s="76">
        <f t="shared" si="6"/>
        <v>0</v>
      </c>
    </row>
    <row r="223" spans="3:6" ht="15.75">
      <c r="C223" s="85">
        <f>SUM(C217:C222)</f>
        <v>3282840.5</v>
      </c>
      <c r="E223" s="85">
        <f>SUM(E217:E222)</f>
        <v>0</v>
      </c>
      <c r="F223" s="85">
        <f>SUM(F217:F222)</f>
        <v>3282840.5</v>
      </c>
    </row>
    <row r="224" ht="15.75">
      <c r="A224" s="2" t="s">
        <v>736</v>
      </c>
    </row>
    <row r="225" spans="1:6" ht="15.75">
      <c r="A225" s="5" t="s">
        <v>737</v>
      </c>
      <c r="B225" s="54">
        <v>265</v>
      </c>
      <c r="C225" s="76">
        <f>-'GROUPINGS FINAL'!E147</f>
        <v>350895</v>
      </c>
      <c r="F225" s="76">
        <f>SUM(C225:E225)</f>
        <v>350895</v>
      </c>
    </row>
    <row r="226" spans="1:6" ht="15.75">
      <c r="A226" s="5" t="s">
        <v>738</v>
      </c>
      <c r="B226" s="54">
        <v>663</v>
      </c>
      <c r="C226" s="76">
        <f>-'GROUPINGS FINAL'!E272</f>
        <v>-75511</v>
      </c>
      <c r="F226" s="76">
        <f>SUM(C226:E226)</f>
        <v>-75511</v>
      </c>
    </row>
    <row r="227" spans="1:6" ht="15.75">
      <c r="A227" s="5" t="s">
        <v>739</v>
      </c>
      <c r="B227" s="54">
        <v>666</v>
      </c>
      <c r="C227" s="76">
        <f>-'GROUPINGS FINAL'!E273</f>
        <v>98681</v>
      </c>
      <c r="F227" s="76">
        <f>SUM(C227:E227)</f>
        <v>98681</v>
      </c>
    </row>
    <row r="228" spans="1:6" ht="15.75">
      <c r="A228" s="5" t="s">
        <v>329</v>
      </c>
      <c r="B228" s="54">
        <v>1615</v>
      </c>
      <c r="C228" s="76">
        <f>-'GROUPINGS FINAL'!E355</f>
        <v>15122606</v>
      </c>
      <c r="F228" s="76">
        <f>SUM(C228:E228)</f>
        <v>15122606</v>
      </c>
    </row>
    <row r="229" spans="1:6" ht="15.75">
      <c r="A229" s="5" t="s">
        <v>331</v>
      </c>
      <c r="B229" s="54">
        <v>1619</v>
      </c>
      <c r="C229" s="76">
        <f>-'GROUPINGS FINAL'!E357</f>
        <v>3288256</v>
      </c>
      <c r="F229" s="76">
        <f>SUM(C229:E229)</f>
        <v>3288256</v>
      </c>
    </row>
    <row r="230" spans="1:6" ht="15.75">
      <c r="A230" s="5" t="s">
        <v>616</v>
      </c>
      <c r="B230" s="54">
        <v>946</v>
      </c>
      <c r="C230" s="76">
        <f>-'GROUPINGS FINAL'!E331</f>
        <v>54560</v>
      </c>
      <c r="F230" s="76">
        <f>+E230+C230</f>
        <v>54560</v>
      </c>
    </row>
    <row r="231" spans="3:6" ht="15.75">
      <c r="C231" s="85">
        <f>SUM(C225:C230)</f>
        <v>18839487</v>
      </c>
      <c r="E231" s="85">
        <f>SUM(E225:E230)</f>
        <v>0</v>
      </c>
      <c r="F231" s="85">
        <f>SUM(F225:F230)</f>
        <v>18839487</v>
      </c>
    </row>
    <row r="232" ht="15.75">
      <c r="A232" s="2" t="s">
        <v>740</v>
      </c>
    </row>
    <row r="233" ht="15.75">
      <c r="A233" s="2"/>
    </row>
    <row r="234" spans="1:6" ht="15.75">
      <c r="A234" s="5" t="s">
        <v>741</v>
      </c>
      <c r="B234" s="54">
        <v>160</v>
      </c>
      <c r="C234" s="76">
        <f>-'GROUPINGS FINAL'!E94</f>
        <v>3520012</v>
      </c>
      <c r="F234" s="76">
        <f aca="true" t="shared" si="7" ref="F234:F242">SUM(C234:E234)</f>
        <v>3520012</v>
      </c>
    </row>
    <row r="235" spans="1:6" ht="15.75">
      <c r="A235" s="5" t="s">
        <v>742</v>
      </c>
      <c r="B235" s="54">
        <v>438</v>
      </c>
      <c r="C235" s="76">
        <f>-'GROUPINGS FINAL'!E206</f>
        <v>36001383</v>
      </c>
      <c r="F235" s="76">
        <f t="shared" si="7"/>
        <v>36001383</v>
      </c>
    </row>
    <row r="236" spans="1:6" ht="15.75">
      <c r="A236" s="5" t="s">
        <v>743</v>
      </c>
      <c r="B236" s="54">
        <v>439</v>
      </c>
      <c r="C236" s="76">
        <f>-'GROUPINGS FINAL'!E207</f>
        <v>5621139</v>
      </c>
      <c r="F236" s="76">
        <f t="shared" si="7"/>
        <v>5621139</v>
      </c>
    </row>
    <row r="237" spans="1:6" ht="15.75">
      <c r="A237" s="5" t="s">
        <v>744</v>
      </c>
      <c r="B237" s="54">
        <v>440</v>
      </c>
      <c r="C237" s="76">
        <f>-'GROUPINGS FINAL'!E208</f>
        <v>4941197</v>
      </c>
      <c r="F237" s="76">
        <f t="shared" si="7"/>
        <v>4941197</v>
      </c>
    </row>
    <row r="238" spans="1:6" ht="15.75">
      <c r="A238" s="5" t="s">
        <v>745</v>
      </c>
      <c r="B238" s="54">
        <v>442</v>
      </c>
      <c r="C238" s="76">
        <f>-'GROUPINGS FINAL'!E209</f>
        <v>946353</v>
      </c>
      <c r="F238" s="76">
        <f t="shared" si="7"/>
        <v>946353</v>
      </c>
    </row>
    <row r="239" spans="1:6" ht="15.75">
      <c r="A239" s="5" t="s">
        <v>746</v>
      </c>
      <c r="B239" s="54">
        <v>443</v>
      </c>
      <c r="C239" s="76">
        <f>-'GROUPINGS FINAL'!E210</f>
        <v>510551</v>
      </c>
      <c r="F239" s="76">
        <f t="shared" si="7"/>
        <v>510551</v>
      </c>
    </row>
    <row r="240" spans="1:6" ht="15.75">
      <c r="A240" s="5" t="s">
        <v>747</v>
      </c>
      <c r="B240" s="54">
        <v>677</v>
      </c>
      <c r="C240" s="76">
        <f>-'GROUPINGS FINAL'!E276</f>
        <v>96070584</v>
      </c>
      <c r="F240" s="76">
        <f t="shared" si="7"/>
        <v>96070584</v>
      </c>
    </row>
    <row r="241" spans="1:6" ht="15.75">
      <c r="A241" s="5" t="s">
        <v>748</v>
      </c>
      <c r="B241" s="54">
        <v>712</v>
      </c>
      <c r="C241" s="76">
        <f>-'GROUPINGS FINAL'!E287</f>
        <v>5000</v>
      </c>
      <c r="F241" s="76">
        <f t="shared" si="7"/>
        <v>5000</v>
      </c>
    </row>
    <row r="242" spans="1:6" ht="15.75">
      <c r="A242" s="5" t="s">
        <v>749</v>
      </c>
      <c r="B242" s="54">
        <v>528</v>
      </c>
      <c r="C242" s="76">
        <f>-'GROUPINGS FINAL'!E240</f>
        <v>9300000</v>
      </c>
      <c r="F242" s="76">
        <f t="shared" si="7"/>
        <v>9300000</v>
      </c>
    </row>
    <row r="243" spans="1:6" ht="15.75">
      <c r="A243" s="5" t="s">
        <v>750</v>
      </c>
      <c r="C243" s="85">
        <f>SUM(C234:C242)</f>
        <v>156916219</v>
      </c>
      <c r="E243" s="85">
        <f>SUM(E234:E242)</f>
        <v>0</v>
      </c>
      <c r="F243" s="85">
        <f>SUM(F234:F242)</f>
        <v>156916219</v>
      </c>
    </row>
    <row r="244" ht="15.75">
      <c r="A244" s="2" t="s">
        <v>751</v>
      </c>
    </row>
    <row r="245" spans="1:6" ht="15.75">
      <c r="A245" s="5" t="s">
        <v>752</v>
      </c>
      <c r="B245" s="54">
        <v>1635</v>
      </c>
      <c r="C245" s="76">
        <f>-'GROUPINGS FINAL'!E363+8500000+1026648</f>
        <v>53735236</v>
      </c>
      <c r="D245" s="169">
        <v>1732</v>
      </c>
      <c r="E245" s="76">
        <f>-'GROUPINGS FINAL'!E401</f>
        <v>6779915</v>
      </c>
      <c r="F245" s="76">
        <f>+E245+C245</f>
        <v>60515151</v>
      </c>
    </row>
    <row r="246" spans="1:6" ht="15.75">
      <c r="A246" s="5" t="s">
        <v>753</v>
      </c>
      <c r="B246" s="54">
        <v>1642</v>
      </c>
      <c r="C246" s="76">
        <f>-'GROUPINGS FINAL'!E366</f>
        <v>78900563</v>
      </c>
      <c r="D246" s="169">
        <v>1729</v>
      </c>
      <c r="E246" s="76">
        <f>-'GROUPINGS FINAL'!E398</f>
        <v>4862190</v>
      </c>
      <c r="F246" s="76">
        <f>+E246+C246</f>
        <v>83762753</v>
      </c>
    </row>
    <row r="247" spans="3:6" ht="15.75">
      <c r="C247" s="85">
        <f>SUM(C245:C246)</f>
        <v>132635799</v>
      </c>
      <c r="E247" s="85">
        <f>SUM(E245:E246)</f>
        <v>11642105</v>
      </c>
      <c r="F247" s="85">
        <f>SUM(F245:F246)</f>
        <v>144277904</v>
      </c>
    </row>
    <row r="248" ht="15.75">
      <c r="A248" s="27"/>
    </row>
    <row r="249" ht="15.75">
      <c r="A249" s="2" t="s">
        <v>754</v>
      </c>
    </row>
    <row r="250" spans="1:6" ht="15.75">
      <c r="A250" s="5" t="s">
        <v>755</v>
      </c>
      <c r="B250" s="54">
        <v>1645</v>
      </c>
      <c r="C250" s="76">
        <f>-'GROUPINGS FINAL'!E368</f>
        <v>146456000</v>
      </c>
      <c r="D250" s="169">
        <v>1731</v>
      </c>
      <c r="E250" s="76">
        <f>-'GROUPINGS FINAL'!E400</f>
        <v>17321000</v>
      </c>
      <c r="F250" s="76">
        <f>+E250+C250</f>
        <v>163777000</v>
      </c>
    </row>
    <row r="251" spans="1:6" ht="15.75">
      <c r="A251" s="5" t="s">
        <v>756</v>
      </c>
      <c r="B251" s="54">
        <v>1644</v>
      </c>
      <c r="C251" s="76">
        <f>-'GROUPINGS FINAL'!E367</f>
        <v>70554000</v>
      </c>
      <c r="D251" s="169">
        <v>1730</v>
      </c>
      <c r="E251" s="76">
        <f>-'GROUPINGS FINAL'!E399</f>
        <v>12332000</v>
      </c>
      <c r="F251" s="76">
        <f>+E251+C251</f>
        <v>82886000</v>
      </c>
    </row>
    <row r="252" spans="2:6" ht="15.75">
      <c r="B252" s="54"/>
      <c r="C252" s="85">
        <f>SUM(C250:C251)</f>
        <v>217010000</v>
      </c>
      <c r="D252" s="169"/>
      <c r="E252" s="85">
        <f>SUM(E250:E251)</f>
        <v>29653000</v>
      </c>
      <c r="F252" s="85">
        <f>SUM(F250:F251)</f>
        <v>246663000</v>
      </c>
    </row>
    <row r="254" spans="1:6" ht="15.75">
      <c r="A254" s="168" t="s">
        <v>810</v>
      </c>
      <c r="C254" s="172">
        <f>SUM(C200:C253)</f>
        <v>1061490095</v>
      </c>
      <c r="D254" s="172"/>
      <c r="E254" s="172">
        <f>SUM(E200:E253)</f>
        <v>82590288</v>
      </c>
      <c r="F254" s="172">
        <f>+F215+F223+F231+F243+F247+F252</f>
        <v>572040191.5</v>
      </c>
    </row>
  </sheetData>
  <mergeCells count="5">
    <mergeCell ref="A101:C101"/>
    <mergeCell ref="A14:F14"/>
    <mergeCell ref="A86:C86"/>
    <mergeCell ref="A93:C93"/>
    <mergeCell ref="A97:C97"/>
  </mergeCells>
  <printOptions gridLines="1" horizontalCentered="1"/>
  <pageMargins left="0.5" right="0.5" top="1" bottom="1" header="0.5" footer="0.5"/>
  <pageSetup fitToHeight="0" fitToWidth="1" horizontalDpi="600" verticalDpi="600" orientation="landscape" paperSize="9" r:id="rId1"/>
  <rowBreaks count="2" manualBreakCount="2">
    <brk id="41" max="255" man="1"/>
    <brk id="5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G42"/>
  <sheetViews>
    <sheetView tabSelected="1" view="pageBreakPreview" zoomScale="60" workbookViewId="0" topLeftCell="A1">
      <selection activeCell="A6" sqref="A6"/>
    </sheetView>
  </sheetViews>
  <sheetFormatPr defaultColWidth="9.140625" defaultRowHeight="12.75"/>
  <cols>
    <col min="1" max="1" width="60.140625" style="63" bestFit="1" customWidth="1"/>
    <col min="2" max="2" width="10.28125" style="63" bestFit="1" customWidth="1"/>
    <col min="3" max="3" width="21.57421875" style="63" customWidth="1"/>
    <col min="4" max="4" width="19.421875" style="63" bestFit="1" customWidth="1"/>
    <col min="5" max="5" width="14.7109375" style="63" bestFit="1" customWidth="1"/>
    <col min="6" max="6" width="14.57421875" style="63" customWidth="1"/>
    <col min="7" max="7" width="14.00390625" style="63" bestFit="1" customWidth="1"/>
    <col min="8" max="16384" width="9.140625" style="63" customWidth="1"/>
  </cols>
  <sheetData>
    <row r="1" spans="1:4" ht="16.5" thickBot="1">
      <c r="A1" s="60"/>
      <c r="B1" s="61"/>
      <c r="C1" s="61"/>
      <c r="D1" s="62"/>
    </row>
    <row r="2" spans="1:4" ht="15.75">
      <c r="A2" s="360" t="s">
        <v>2</v>
      </c>
      <c r="B2" s="361"/>
      <c r="C2" s="361"/>
      <c r="D2" s="362"/>
    </row>
    <row r="3" spans="1:4" ht="15.75">
      <c r="A3" s="343" t="s">
        <v>857</v>
      </c>
      <c r="B3" s="344"/>
      <c r="C3" s="344"/>
      <c r="D3" s="345"/>
    </row>
    <row r="4" spans="1:4" ht="15.75">
      <c r="A4" s="363" t="s">
        <v>782</v>
      </c>
      <c r="B4" s="364"/>
      <c r="C4" s="364"/>
      <c r="D4" s="365"/>
    </row>
    <row r="5" spans="1:4" ht="15.75">
      <c r="A5" s="18"/>
      <c r="B5" s="19"/>
      <c r="C5" s="19"/>
      <c r="D5" s="20"/>
    </row>
    <row r="6" spans="1:4" ht="16.5" thickBot="1">
      <c r="A6" s="64"/>
      <c r="B6" s="65"/>
      <c r="C6" s="65"/>
      <c r="D6" s="325" t="s">
        <v>122</v>
      </c>
    </row>
    <row r="7" spans="1:4" ht="15.75">
      <c r="A7" s="21" t="s">
        <v>402</v>
      </c>
      <c r="B7" s="22" t="s">
        <v>761</v>
      </c>
      <c r="C7" s="23" t="s">
        <v>783</v>
      </c>
      <c r="D7" s="24" t="s">
        <v>893</v>
      </c>
    </row>
    <row r="8" spans="1:4" ht="15.75">
      <c r="A8" s="25"/>
      <c r="B8" s="66"/>
      <c r="C8" s="67"/>
      <c r="D8" s="68"/>
    </row>
    <row r="9" spans="1:4" ht="15.75">
      <c r="A9" s="25" t="s">
        <v>120</v>
      </c>
      <c r="B9" s="69" t="s">
        <v>402</v>
      </c>
      <c r="C9" s="67"/>
      <c r="D9" s="68"/>
    </row>
    <row r="10" spans="1:4" ht="15.75">
      <c r="A10" s="8" t="s">
        <v>121</v>
      </c>
      <c r="B10" s="70">
        <v>1</v>
      </c>
      <c r="C10" s="31">
        <f>+'SCH 1'!C12</f>
        <v>-333141594.87466574</v>
      </c>
      <c r="D10" s="12">
        <f>+'SCH 1'!E12</f>
        <v>-133256557.48964691</v>
      </c>
    </row>
    <row r="11" spans="1:4" ht="15.75">
      <c r="A11" s="8" t="s">
        <v>762</v>
      </c>
      <c r="B11" s="70">
        <v>2</v>
      </c>
      <c r="C11" s="31">
        <f>+'SCH 2'!C21</f>
        <v>2058333483.1000001</v>
      </c>
      <c r="D11" s="12">
        <f>+'SCH 2'!E21</f>
        <v>1804590704</v>
      </c>
    </row>
    <row r="12" spans="1:5" ht="15.75">
      <c r="A12" s="8" t="s">
        <v>763</v>
      </c>
      <c r="B12" s="70">
        <v>3</v>
      </c>
      <c r="C12" s="31">
        <f>+'SCH 3'!B10</f>
        <v>30423582.52</v>
      </c>
      <c r="D12" s="12">
        <f>+'SCH 3'!C10</f>
        <v>23728714</v>
      </c>
      <c r="E12" s="287"/>
    </row>
    <row r="13" spans="1:5" ht="15.75">
      <c r="A13" s="8" t="s">
        <v>764</v>
      </c>
      <c r="B13" s="70">
        <v>4</v>
      </c>
      <c r="C13" s="31">
        <f>+'SCH 4'!B10</f>
        <v>4084348</v>
      </c>
      <c r="D13" s="12">
        <f>+'SCH 4'!C10</f>
        <v>4299168</v>
      </c>
      <c r="E13" s="287"/>
    </row>
    <row r="14" spans="1:5" ht="15.75">
      <c r="A14" s="8" t="s">
        <v>765</v>
      </c>
      <c r="B14" s="70">
        <v>5</v>
      </c>
      <c r="C14" s="31">
        <f>+'BS GROUP'!F99-20000000</f>
        <v>5252594.6499999985</v>
      </c>
      <c r="D14" s="12">
        <f>+'SCH 5'!C9</f>
        <v>9417192</v>
      </c>
      <c r="E14" s="287"/>
    </row>
    <row r="15" spans="1:5" ht="15.75">
      <c r="A15" s="26" t="s">
        <v>374</v>
      </c>
      <c r="B15" s="71"/>
      <c r="C15" s="72">
        <f>SUM(C10:C14)+0.6</f>
        <v>1764952413.9953344</v>
      </c>
      <c r="D15" s="73">
        <f>SUM(D10:D14)</f>
        <v>1708779220.510353</v>
      </c>
      <c r="E15" s="287"/>
    </row>
    <row r="16" spans="1:5" ht="15.75">
      <c r="A16" s="25" t="s">
        <v>766</v>
      </c>
      <c r="B16" s="30"/>
      <c r="C16" s="74"/>
      <c r="D16" s="12"/>
      <c r="E16" s="287"/>
    </row>
    <row r="17" spans="1:5" ht="15.75">
      <c r="A17" s="8" t="s">
        <v>30</v>
      </c>
      <c r="B17" s="30"/>
      <c r="C17" s="11"/>
      <c r="D17" s="12"/>
      <c r="E17" s="287"/>
    </row>
    <row r="18" spans="1:7" ht="15.75">
      <c r="A18" s="75" t="s">
        <v>767</v>
      </c>
      <c r="B18" s="70">
        <v>6</v>
      </c>
      <c r="C18" s="11">
        <f>+'SCH 6'!E19</f>
        <v>1973138453.377976</v>
      </c>
      <c r="D18" s="1">
        <v>1146414744</v>
      </c>
      <c r="E18" s="287"/>
      <c r="F18" s="76"/>
      <c r="G18" s="76"/>
    </row>
    <row r="19" spans="1:7" ht="15.75">
      <c r="A19" s="8" t="s">
        <v>768</v>
      </c>
      <c r="B19" s="70"/>
      <c r="C19" s="33">
        <f>-'SCH 6'!I19</f>
        <v>-373714381.18251884</v>
      </c>
      <c r="D19" s="77">
        <v>-273223379</v>
      </c>
      <c r="E19" s="299"/>
      <c r="F19" s="78"/>
      <c r="G19" s="76"/>
    </row>
    <row r="20" spans="1:7" ht="15.75">
      <c r="A20" s="8" t="s">
        <v>769</v>
      </c>
      <c r="B20" s="79"/>
      <c r="C20" s="80">
        <f>SUM(C18:C19)</f>
        <v>1599424072.195457</v>
      </c>
      <c r="D20" s="81">
        <f>SUM(D18:D19)</f>
        <v>873191365</v>
      </c>
      <c r="E20" s="287"/>
      <c r="F20" s="82"/>
      <c r="G20" s="78"/>
    </row>
    <row r="21" spans="1:7" ht="15.75">
      <c r="A21" s="8" t="s">
        <v>770</v>
      </c>
      <c r="B21" s="70"/>
      <c r="C21" s="33">
        <f>+'SCH 6'!J22</f>
        <v>145916357.16</v>
      </c>
      <c r="D21" s="77">
        <v>684558029</v>
      </c>
      <c r="E21" s="287"/>
      <c r="G21" s="5"/>
    </row>
    <row r="22" spans="1:7" ht="16.5" thickBot="1">
      <c r="A22" s="8"/>
      <c r="B22" s="70"/>
      <c r="C22" s="83">
        <f>SUM(C20:C21)</f>
        <v>1745340429.355457</v>
      </c>
      <c r="D22" s="84">
        <f>SUM(D20:D21)</f>
        <v>1557749394</v>
      </c>
      <c r="E22" s="287"/>
      <c r="G22" s="5"/>
    </row>
    <row r="23" spans="1:7" ht="15.75">
      <c r="A23" s="8"/>
      <c r="B23" s="70"/>
      <c r="C23" s="76"/>
      <c r="D23" s="1"/>
      <c r="E23" s="287"/>
      <c r="G23" s="5"/>
    </row>
    <row r="24" spans="1:7" ht="15.75">
      <c r="A24" s="8" t="s">
        <v>441</v>
      </c>
      <c r="B24" s="70">
        <v>7</v>
      </c>
      <c r="C24" s="76">
        <f>'SCH 7'!B9</f>
        <v>70000000</v>
      </c>
      <c r="D24" s="1">
        <v>0</v>
      </c>
      <c r="E24" s="287"/>
      <c r="G24" s="5"/>
    </row>
    <row r="25" spans="1:7" ht="15.75">
      <c r="A25" s="8"/>
      <c r="B25" s="70"/>
      <c r="C25" s="85"/>
      <c r="D25" s="86"/>
      <c r="E25" s="287"/>
      <c r="G25" s="5"/>
    </row>
    <row r="26" spans="1:7" ht="15.75">
      <c r="A26" s="8" t="s">
        <v>771</v>
      </c>
      <c r="B26" s="70">
        <v>8</v>
      </c>
      <c r="C26" s="11">
        <f>+'SCH 8'!C57</f>
        <v>521652176.89000005</v>
      </c>
      <c r="D26" s="12">
        <v>569944663</v>
      </c>
      <c r="E26" s="287"/>
      <c r="G26" s="5"/>
    </row>
    <row r="27" spans="1:7" ht="15.75">
      <c r="A27" s="8"/>
      <c r="B27" s="70"/>
      <c r="C27" s="11"/>
      <c r="D27" s="12"/>
      <c r="G27" s="5"/>
    </row>
    <row r="28" spans="1:7" ht="15.75">
      <c r="A28" s="8" t="s">
        <v>772</v>
      </c>
      <c r="B28" s="70">
        <v>9</v>
      </c>
      <c r="C28" s="33">
        <f>+'SC 9'!B20</f>
        <v>572040191.5</v>
      </c>
      <c r="D28" s="12">
        <v>418914836</v>
      </c>
      <c r="G28" s="5"/>
    </row>
    <row r="29" spans="1:7" ht="15.75">
      <c r="A29" s="8" t="s">
        <v>773</v>
      </c>
      <c r="B29" s="87"/>
      <c r="C29" s="50">
        <f>+C26-C28</f>
        <v>-50388014.609999955</v>
      </c>
      <c r="D29" s="51">
        <f>+D26-D28</f>
        <v>151029827</v>
      </c>
      <c r="G29" s="5"/>
    </row>
    <row r="30" spans="1:7" ht="15.75">
      <c r="A30" s="26" t="s">
        <v>774</v>
      </c>
      <c r="B30" s="88"/>
      <c r="C30" s="89">
        <f>+C22+C29+C24-0.3</f>
        <v>1764952414.4454572</v>
      </c>
      <c r="D30" s="90">
        <f>SUM(D29+D22)</f>
        <v>1708779221</v>
      </c>
      <c r="E30" s="91"/>
      <c r="F30" s="82"/>
      <c r="G30" s="5"/>
    </row>
    <row r="31" spans="1:7" ht="31.5">
      <c r="A31" s="92" t="s">
        <v>775</v>
      </c>
      <c r="B31" s="70">
        <v>19</v>
      </c>
      <c r="C31" s="286">
        <f>+C30-C15</f>
        <v>0.4501228332519531</v>
      </c>
      <c r="D31" s="93"/>
      <c r="G31" s="5"/>
    </row>
    <row r="32" spans="1:4" ht="16.5" thickBot="1">
      <c r="A32" s="64"/>
      <c r="B32" s="94"/>
      <c r="C32" s="95"/>
      <c r="D32" s="96"/>
    </row>
    <row r="33" spans="1:4" ht="15.75">
      <c r="A33" s="5"/>
      <c r="B33" s="54"/>
      <c r="C33" s="76"/>
      <c r="D33" s="76"/>
    </row>
    <row r="34" spans="1:4" ht="15.75">
      <c r="A34" s="5" t="s">
        <v>776</v>
      </c>
      <c r="B34" s="366" t="s">
        <v>777</v>
      </c>
      <c r="C34" s="366"/>
      <c r="D34" s="366"/>
    </row>
    <row r="35" spans="1:4" ht="15.75">
      <c r="A35" s="5" t="s">
        <v>568</v>
      </c>
      <c r="B35" s="367" t="s">
        <v>778</v>
      </c>
      <c r="C35" s="367"/>
      <c r="D35" s="367"/>
    </row>
    <row r="36" spans="1:4" ht="15.75">
      <c r="A36" s="5" t="s">
        <v>779</v>
      </c>
      <c r="B36" s="5"/>
      <c r="C36" s="5"/>
      <c r="D36" s="5"/>
    </row>
    <row r="37" spans="1:4" ht="15.75">
      <c r="A37" s="5"/>
      <c r="B37" s="5"/>
      <c r="C37" s="5"/>
      <c r="D37" s="5"/>
    </row>
    <row r="38" spans="1:4" ht="15.75" hidden="1">
      <c r="A38" s="5"/>
      <c r="B38" s="5"/>
      <c r="C38" s="5"/>
      <c r="D38" s="5"/>
    </row>
    <row r="39" spans="1:4" ht="15.75">
      <c r="A39" s="5" t="s">
        <v>780</v>
      </c>
      <c r="B39" s="5"/>
      <c r="C39" s="5"/>
      <c r="D39" s="5"/>
    </row>
    <row r="40" spans="1:4" ht="15.75">
      <c r="A40" s="5" t="s">
        <v>781</v>
      </c>
      <c r="B40" s="5"/>
      <c r="C40" s="5"/>
      <c r="D40" s="5"/>
    </row>
    <row r="41" spans="1:4" ht="15.75">
      <c r="A41" s="5"/>
      <c r="B41" s="5"/>
      <c r="C41" s="5"/>
      <c r="D41" s="5"/>
    </row>
    <row r="42" spans="1:4" ht="15.75">
      <c r="A42" s="5" t="s">
        <v>486</v>
      </c>
      <c r="B42" s="5"/>
      <c r="C42" s="5"/>
      <c r="D42" s="5"/>
    </row>
  </sheetData>
  <mergeCells count="5">
    <mergeCell ref="A2:D2"/>
    <mergeCell ref="A4:D4"/>
    <mergeCell ref="B34:D34"/>
    <mergeCell ref="B35:D35"/>
    <mergeCell ref="A3:D3"/>
  </mergeCells>
  <printOptions horizontalCentered="1"/>
  <pageMargins left="0.75" right="0.75" top="1" bottom="1" header="0.5" footer="0.5"/>
  <pageSetup fitToHeight="1" fitToWidth="1" horizontalDpi="180" verticalDpi="180" orientation="landscape"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H40"/>
  <sheetViews>
    <sheetView view="pageBreakPreview" zoomScale="60" workbookViewId="0" topLeftCell="A1">
      <selection activeCell="A6" sqref="A6"/>
    </sheetView>
  </sheetViews>
  <sheetFormatPr defaultColWidth="9.140625" defaultRowHeight="12.75"/>
  <cols>
    <col min="1" max="1" width="9.140625" style="63" customWidth="1"/>
    <col min="2" max="2" width="77.00390625" style="63" bestFit="1" customWidth="1"/>
    <col min="3" max="3" width="10.28125" style="63" bestFit="1" customWidth="1"/>
    <col min="4" max="5" width="22.28125" style="63" bestFit="1" customWidth="1"/>
    <col min="6" max="6" width="12.7109375" style="63" bestFit="1" customWidth="1"/>
    <col min="7" max="7" width="9.140625" style="63" customWidth="1"/>
    <col min="8" max="8" width="12.8515625" style="63" bestFit="1" customWidth="1"/>
    <col min="9" max="16384" width="9.140625" style="63" customWidth="1"/>
  </cols>
  <sheetData>
    <row r="1" spans="1:6" ht="15.75">
      <c r="A1" s="5"/>
      <c r="B1" s="344" t="s">
        <v>950</v>
      </c>
      <c r="C1" s="344"/>
      <c r="D1" s="344"/>
      <c r="E1" s="344"/>
      <c r="F1" s="5"/>
    </row>
    <row r="2" spans="1:6" ht="15.75">
      <c r="A2" s="5"/>
      <c r="B2" s="344" t="s">
        <v>857</v>
      </c>
      <c r="C2" s="344"/>
      <c r="D2" s="344"/>
      <c r="E2" s="344"/>
      <c r="F2" s="5"/>
    </row>
    <row r="3" spans="1:6" ht="15.75">
      <c r="A3" s="5"/>
      <c r="B3" s="364" t="s">
        <v>799</v>
      </c>
      <c r="C3" s="346"/>
      <c r="D3" s="346"/>
      <c r="E3" s="346"/>
      <c r="F3" s="5"/>
    </row>
    <row r="4" spans="1:6" ht="15.75">
      <c r="A4" s="5"/>
      <c r="B4" s="19"/>
      <c r="C4" s="54"/>
      <c r="D4" s="54"/>
      <c r="E4" s="54"/>
      <c r="F4" s="5"/>
    </row>
    <row r="5" ht="16.5" thickBot="1">
      <c r="E5" s="109" t="s">
        <v>122</v>
      </c>
    </row>
    <row r="6" spans="2:5" ht="15.75">
      <c r="B6" s="21" t="s">
        <v>402</v>
      </c>
      <c r="C6" s="55" t="s">
        <v>761</v>
      </c>
      <c r="D6" s="56" t="s">
        <v>800</v>
      </c>
      <c r="E6" s="57" t="s">
        <v>784</v>
      </c>
    </row>
    <row r="7" spans="2:5" ht="15.75">
      <c r="B7" s="25" t="s">
        <v>785</v>
      </c>
      <c r="C7" s="58"/>
      <c r="D7" s="59"/>
      <c r="E7" s="59"/>
    </row>
    <row r="8" spans="2:5" ht="15.75">
      <c r="B8" s="25"/>
      <c r="C8" s="58"/>
      <c r="D8" s="59"/>
      <c r="E8" s="59"/>
    </row>
    <row r="9" spans="2:5" ht="15.75">
      <c r="B9" s="8" t="s">
        <v>786</v>
      </c>
      <c r="C9" s="226">
        <v>10</v>
      </c>
      <c r="D9" s="227">
        <f>+'SC 10'!B9</f>
        <v>562500000</v>
      </c>
      <c r="E9" s="227">
        <f>+'SC 10'!C9</f>
        <v>605000000</v>
      </c>
    </row>
    <row r="10" spans="2:6" ht="15.75">
      <c r="B10" s="8" t="s">
        <v>787</v>
      </c>
      <c r="C10" s="226">
        <v>11</v>
      </c>
      <c r="D10" s="228">
        <f>+'SC 11'!B10</f>
        <v>830027915.5</v>
      </c>
      <c r="E10" s="228">
        <f>+'SC 11'!C10</f>
        <v>662837285</v>
      </c>
      <c r="F10" s="82"/>
    </row>
    <row r="11" spans="2:5" ht="15.75">
      <c r="B11" s="8" t="s">
        <v>451</v>
      </c>
      <c r="C11" s="226">
        <v>12</v>
      </c>
      <c r="D11" s="228">
        <f>'SC 12'!B11</f>
        <v>18134239</v>
      </c>
      <c r="E11" s="228">
        <f>'SC 12'!C11</f>
        <v>22091170</v>
      </c>
    </row>
    <row r="12" spans="2:7" ht="15.75">
      <c r="B12" s="8" t="s">
        <v>788</v>
      </c>
      <c r="C12" s="226">
        <v>13</v>
      </c>
      <c r="D12" s="228">
        <f>+'SCH 13'!B12</f>
        <v>16281431.7</v>
      </c>
      <c r="E12" s="296">
        <f>+'SCH 13'!C12</f>
        <v>4535941.64</v>
      </c>
      <c r="G12" s="82"/>
    </row>
    <row r="13" spans="2:5" ht="15.75">
      <c r="B13" s="26" t="s">
        <v>789</v>
      </c>
      <c r="C13" s="229"/>
      <c r="D13" s="230">
        <f>SUM(D9:D12)+1</f>
        <v>1426943587.2</v>
      </c>
      <c r="E13" s="297">
        <f>SUM(E9:E12)</f>
        <v>1294464396.64</v>
      </c>
    </row>
    <row r="14" spans="2:5" ht="15.75">
      <c r="B14" s="25" t="s">
        <v>790</v>
      </c>
      <c r="C14" s="138"/>
      <c r="D14" s="228"/>
      <c r="E14" s="296"/>
    </row>
    <row r="15" spans="2:8" ht="15.75">
      <c r="B15" s="25"/>
      <c r="C15" s="138"/>
      <c r="D15" s="228"/>
      <c r="E15" s="296"/>
      <c r="H15" s="82"/>
    </row>
    <row r="16" spans="2:5" ht="15.75">
      <c r="B16" s="8" t="s">
        <v>791</v>
      </c>
      <c r="C16" s="226"/>
      <c r="D16" s="228">
        <f>+'SCH 3'!B7</f>
        <v>10226652</v>
      </c>
      <c r="E16" s="296">
        <v>7817456</v>
      </c>
    </row>
    <row r="17" spans="2:5" ht="15.75">
      <c r="B17" s="8" t="s">
        <v>437</v>
      </c>
      <c r="C17" s="226">
        <v>14</v>
      </c>
      <c r="D17" s="228">
        <f>'SCH 14'!B13</f>
        <v>509551325</v>
      </c>
      <c r="E17" s="228">
        <f>'SCH 14'!C13</f>
        <v>341484226</v>
      </c>
    </row>
    <row r="18" spans="2:5" ht="15.75">
      <c r="B18" s="8" t="s">
        <v>417</v>
      </c>
      <c r="C18" s="226">
        <v>15</v>
      </c>
      <c r="D18" s="228">
        <f>+'SCH 15'!B9</f>
        <v>118861677</v>
      </c>
      <c r="E18" s="296">
        <f>'SCH 15'!C7</f>
        <v>108252628</v>
      </c>
    </row>
    <row r="19" spans="2:5" ht="15.75">
      <c r="B19" s="8" t="s">
        <v>792</v>
      </c>
      <c r="C19" s="226">
        <v>16</v>
      </c>
      <c r="D19" s="228">
        <f>+'SCH 16'!B13</f>
        <v>668179657</v>
      </c>
      <c r="E19" s="296">
        <f>+'SCH 16'!C13</f>
        <v>640137913</v>
      </c>
    </row>
    <row r="20" spans="2:5" ht="15.75">
      <c r="B20" s="8" t="s">
        <v>793</v>
      </c>
      <c r="C20" s="226">
        <v>17</v>
      </c>
      <c r="D20" s="228">
        <f>+'SCH 17'!C30</f>
        <v>218939114.89999998</v>
      </c>
      <c r="E20" s="296">
        <f>+'SCH 17'!D30</f>
        <v>202705534</v>
      </c>
    </row>
    <row r="21" spans="2:5" ht="15.75">
      <c r="B21" s="8" t="s">
        <v>794</v>
      </c>
      <c r="C21" s="226">
        <v>18</v>
      </c>
      <c r="D21" s="228">
        <f>+'SCH 18'!B9</f>
        <v>558892</v>
      </c>
      <c r="E21" s="296">
        <f>+'SCH 18'!C9</f>
        <v>650004</v>
      </c>
    </row>
    <row r="22" spans="2:5" ht="15.75">
      <c r="B22" s="8" t="s">
        <v>294</v>
      </c>
      <c r="C22" s="226">
        <v>6</v>
      </c>
      <c r="D22" s="228">
        <f>'SCH 6'!G19</f>
        <v>100511306.68501884</v>
      </c>
      <c r="E22" s="296">
        <v>140156193.12964708</v>
      </c>
    </row>
    <row r="23" spans="2:5" ht="15.75">
      <c r="B23" s="26" t="s">
        <v>795</v>
      </c>
      <c r="C23" s="231"/>
      <c r="D23" s="230">
        <f>SUM(D16:D22)</f>
        <v>1626828624.5850189</v>
      </c>
      <c r="E23" s="297">
        <f>SUM(E16:E22)</f>
        <v>1441203954.129647</v>
      </c>
    </row>
    <row r="24" spans="2:5" ht="15.75">
      <c r="B24" s="8"/>
      <c r="C24" s="226"/>
      <c r="D24" s="232"/>
      <c r="E24" s="298"/>
    </row>
    <row r="25" spans="2:8" ht="15.75">
      <c r="B25" s="8" t="s">
        <v>796</v>
      </c>
      <c r="C25" s="226"/>
      <c r="D25" s="228">
        <f>+D13-D23-1</f>
        <v>-199885038.38501883</v>
      </c>
      <c r="E25" s="296">
        <f>+E13-E23</f>
        <v>-146739557.4896469</v>
      </c>
      <c r="H25" s="82"/>
    </row>
    <row r="26" spans="2:5" ht="15.75">
      <c r="B26" s="8"/>
      <c r="C26" s="226"/>
      <c r="D26" s="233"/>
      <c r="E26" s="233"/>
    </row>
    <row r="27" spans="2:8" ht="15.75">
      <c r="B27" s="26" t="s">
        <v>961</v>
      </c>
      <c r="C27" s="231"/>
      <c r="D27" s="230">
        <f>+D25</f>
        <v>-199885038.38501883</v>
      </c>
      <c r="E27" s="230">
        <f>+E25</f>
        <v>-146739557.4896469</v>
      </c>
      <c r="H27" s="82"/>
    </row>
    <row r="28" spans="2:5" ht="31.5">
      <c r="B28" s="92" t="s">
        <v>797</v>
      </c>
      <c r="C28" s="234"/>
      <c r="D28" s="138"/>
      <c r="E28" s="138"/>
    </row>
    <row r="29" spans="2:5" ht="16.5" thickBot="1">
      <c r="B29" s="64" t="s">
        <v>798</v>
      </c>
      <c r="C29" s="235">
        <v>19</v>
      </c>
      <c r="D29" s="140"/>
      <c r="E29" s="140"/>
    </row>
    <row r="31" spans="2:5" ht="15.75">
      <c r="B31" s="5"/>
      <c r="C31" s="5"/>
      <c r="D31" s="5"/>
      <c r="E31" s="5"/>
    </row>
    <row r="32" spans="2:6" ht="15.75">
      <c r="B32" s="5" t="s">
        <v>776</v>
      </c>
      <c r="C32" s="366" t="s">
        <v>777</v>
      </c>
      <c r="D32" s="366"/>
      <c r="E32" s="366"/>
      <c r="F32" s="5"/>
    </row>
    <row r="33" spans="2:6" ht="15.75">
      <c r="B33" s="5" t="s">
        <v>568</v>
      </c>
      <c r="C33" s="367" t="s">
        <v>778</v>
      </c>
      <c r="D33" s="367"/>
      <c r="E33" s="367"/>
      <c r="F33" s="5"/>
    </row>
    <row r="34" spans="2:6" ht="15.75">
      <c r="B34" s="5" t="s">
        <v>779</v>
      </c>
      <c r="C34" s="5"/>
      <c r="D34" s="5"/>
      <c r="E34" s="5"/>
      <c r="F34" s="5"/>
    </row>
    <row r="35" spans="2:6" ht="15.75">
      <c r="B35" s="5"/>
      <c r="C35" s="5"/>
      <c r="D35" s="5"/>
      <c r="E35" s="5"/>
      <c r="F35" s="5"/>
    </row>
    <row r="37" ht="15.75">
      <c r="B37" s="63" t="s">
        <v>780</v>
      </c>
    </row>
    <row r="38" ht="15.75" hidden="1">
      <c r="B38" s="63" t="s">
        <v>781</v>
      </c>
    </row>
    <row r="40" ht="15.75">
      <c r="B40" s="63" t="s">
        <v>962</v>
      </c>
    </row>
  </sheetData>
  <mergeCells count="5">
    <mergeCell ref="B1:E1"/>
    <mergeCell ref="B3:E3"/>
    <mergeCell ref="C32:E32"/>
    <mergeCell ref="C33:E33"/>
    <mergeCell ref="B2:E2"/>
  </mergeCells>
  <printOptions horizontalCentered="1"/>
  <pageMargins left="0.75" right="0.75" top="1" bottom="1" header="0.5" footer="0.5"/>
  <pageSetup fitToHeight="1" fitToWidth="1" horizontalDpi="180" verticalDpi="18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E26"/>
  <sheetViews>
    <sheetView view="pageBreakPreview" zoomScale="60" workbookViewId="0" topLeftCell="A1">
      <selection activeCell="A7" sqref="A7"/>
    </sheetView>
  </sheetViews>
  <sheetFormatPr defaultColWidth="9.140625" defaultRowHeight="12.75"/>
  <cols>
    <col min="1" max="1" width="63.140625" style="63" bestFit="1" customWidth="1"/>
    <col min="2" max="2" width="10.28125" style="63" customWidth="1"/>
    <col min="3" max="3" width="18.28125" style="63" bestFit="1" customWidth="1"/>
    <col min="4" max="4" width="13.7109375" style="63" bestFit="1" customWidth="1"/>
    <col min="5" max="5" width="18.7109375" style="63" bestFit="1" customWidth="1"/>
    <col min="6" max="16384" width="9.140625" style="63" customWidth="1"/>
  </cols>
  <sheetData>
    <row r="1" spans="1:4" ht="15.75">
      <c r="A1" s="153" t="s">
        <v>144</v>
      </c>
      <c r="B1" s="153"/>
      <c r="C1" s="153"/>
      <c r="D1" s="153"/>
    </row>
    <row r="2" spans="1:4" ht="15.75">
      <c r="A2" s="153"/>
      <c r="B2" s="153"/>
      <c r="C2" s="153"/>
      <c r="D2" s="153"/>
    </row>
    <row r="3" ht="15.75">
      <c r="E3" s="109" t="s">
        <v>122</v>
      </c>
    </row>
    <row r="4" spans="1:5" ht="15.75">
      <c r="A4" s="35" t="s">
        <v>904</v>
      </c>
      <c r="B4" s="347" t="s">
        <v>783</v>
      </c>
      <c r="C4" s="348"/>
      <c r="D4" s="347" t="s">
        <v>893</v>
      </c>
      <c r="E4" s="348"/>
    </row>
    <row r="5" spans="1:5" ht="15.75">
      <c r="A5" s="53"/>
      <c r="B5" s="154"/>
      <c r="C5" s="105"/>
      <c r="D5" s="154"/>
      <c r="E5" s="105"/>
    </row>
    <row r="6" spans="1:5" ht="15.75">
      <c r="A6" s="9" t="s">
        <v>803</v>
      </c>
      <c r="B6" s="76"/>
      <c r="C6" s="11">
        <f>+E12</f>
        <v>-133256557.48964691</v>
      </c>
      <c r="D6" s="76"/>
      <c r="E6" s="11">
        <v>71447498</v>
      </c>
    </row>
    <row r="7" spans="1:5" ht="15.75">
      <c r="A7" s="9"/>
      <c r="B7" s="76"/>
      <c r="C7" s="11"/>
      <c r="D7" s="76"/>
      <c r="E7" s="11"/>
    </row>
    <row r="8" spans="1:5" ht="15.75">
      <c r="A8" s="155" t="s">
        <v>145</v>
      </c>
      <c r="B8" s="76">
        <v>0</v>
      </c>
      <c r="C8" s="11"/>
      <c r="D8" s="76">
        <v>7232183</v>
      </c>
      <c r="E8" s="11"/>
    </row>
    <row r="9" spans="1:5" ht="31.5">
      <c r="A9" s="156" t="s">
        <v>487</v>
      </c>
      <c r="B9" s="33">
        <v>0</v>
      </c>
      <c r="C9" s="11">
        <f>SUM(B8-B9)</f>
        <v>0</v>
      </c>
      <c r="D9" s="33">
        <v>-65196681</v>
      </c>
      <c r="E9" s="11">
        <f>D9+D8</f>
        <v>-57964498</v>
      </c>
    </row>
    <row r="10" spans="1:5" ht="15.75" customHeight="1">
      <c r="A10" s="156" t="s">
        <v>925</v>
      </c>
      <c r="B10" s="76"/>
      <c r="C10" s="11"/>
      <c r="D10" s="76"/>
      <c r="E10" s="11"/>
    </row>
    <row r="11" spans="1:5" ht="15.75">
      <c r="A11" s="157" t="s">
        <v>804</v>
      </c>
      <c r="B11" s="5"/>
      <c r="C11" s="33">
        <f>+'FINAL P&amp;L'!D27</f>
        <v>-199885038.38501883</v>
      </c>
      <c r="D11" s="5"/>
      <c r="E11" s="33">
        <f>+'FINAL P&amp;L'!E25</f>
        <v>-146739557.4896469</v>
      </c>
    </row>
    <row r="12" spans="1:5" ht="15.75">
      <c r="A12" s="247" t="s">
        <v>374</v>
      </c>
      <c r="B12" s="158"/>
      <c r="C12" s="285">
        <f>SUM(C6:C11)+1</f>
        <v>-333141594.87466574</v>
      </c>
      <c r="D12" s="284"/>
      <c r="E12" s="290">
        <f>SUM(E6:E11)</f>
        <v>-133256557.48964691</v>
      </c>
    </row>
    <row r="13" ht="15.75">
      <c r="E13" s="287"/>
    </row>
    <row r="14" spans="1:5" ht="50.25" customHeight="1" hidden="1">
      <c r="A14" s="349" t="s">
        <v>571</v>
      </c>
      <c r="B14" s="350"/>
      <c r="C14" s="350"/>
      <c r="D14" s="350"/>
      <c r="E14" s="321"/>
    </row>
    <row r="15" ht="15.75">
      <c r="E15" s="287"/>
    </row>
    <row r="16" ht="15.75">
      <c r="E16" s="287"/>
    </row>
    <row r="17" ht="15.75">
      <c r="E17" s="287"/>
    </row>
    <row r="18" ht="15.75">
      <c r="E18" s="287"/>
    </row>
    <row r="19" ht="15.75">
      <c r="E19" s="287"/>
    </row>
    <row r="20" ht="15.75">
      <c r="E20" s="287"/>
    </row>
    <row r="21" ht="15.75">
      <c r="E21" s="287"/>
    </row>
    <row r="22" ht="15.75">
      <c r="E22" s="287"/>
    </row>
    <row r="23" ht="15.75">
      <c r="E23" s="287"/>
    </row>
    <row r="24" ht="15.75">
      <c r="E24" s="287"/>
    </row>
    <row r="25" ht="15.75">
      <c r="E25" s="287"/>
    </row>
    <row r="26" ht="15.75">
      <c r="E26" s="287"/>
    </row>
    <row r="38" ht="15.75" hidden="1"/>
  </sheetData>
  <mergeCells count="3">
    <mergeCell ref="B4:C4"/>
    <mergeCell ref="D4:E4"/>
    <mergeCell ref="A14:E14"/>
  </mergeCells>
  <printOptions horizontalCentered="1"/>
  <pageMargins left="0.75" right="0.75" top="1" bottom="1" header="0.5" footer="0.5"/>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2:E27"/>
  <sheetViews>
    <sheetView view="pageBreakPreview" zoomScale="60" workbookViewId="0" topLeftCell="A1">
      <selection activeCell="A27" sqref="A27:E27"/>
    </sheetView>
  </sheetViews>
  <sheetFormatPr defaultColWidth="9.140625" defaultRowHeight="12.75"/>
  <cols>
    <col min="1" max="1" width="32.140625" style="63" bestFit="1" customWidth="1"/>
    <col min="2" max="2" width="19.421875" style="63" bestFit="1" customWidth="1"/>
    <col min="3" max="3" width="20.421875" style="63" bestFit="1" customWidth="1"/>
    <col min="4" max="4" width="19.421875" style="63" bestFit="1" customWidth="1"/>
    <col min="5" max="5" width="19.8515625" style="63" bestFit="1" customWidth="1"/>
    <col min="6" max="16384" width="9.140625" style="63" customWidth="1"/>
  </cols>
  <sheetData>
    <row r="2" spans="1:5" ht="15.75">
      <c r="A2" s="322" t="s">
        <v>939</v>
      </c>
      <c r="B2" s="322"/>
      <c r="C2" s="322"/>
      <c r="D2" s="322"/>
      <c r="E2" s="322"/>
    </row>
    <row r="3" spans="1:5" ht="15.75">
      <c r="A3" s="317"/>
      <c r="B3" s="317"/>
      <c r="C3" s="317"/>
      <c r="D3" s="317"/>
      <c r="E3" s="317"/>
    </row>
    <row r="4" spans="1:5" ht="16.5" thickBot="1">
      <c r="A4" s="143"/>
      <c r="B4" s="5"/>
      <c r="C4" s="5"/>
      <c r="D4" s="5"/>
      <c r="E4" s="316" t="s">
        <v>122</v>
      </c>
    </row>
    <row r="5" spans="1:5" ht="15.75">
      <c r="A5" s="144" t="s">
        <v>10</v>
      </c>
      <c r="B5" s="368" t="s">
        <v>783</v>
      </c>
      <c r="C5" s="369"/>
      <c r="D5" s="370" t="s">
        <v>893</v>
      </c>
      <c r="E5" s="371"/>
    </row>
    <row r="6" spans="1:5" ht="15.75">
      <c r="A6" s="328"/>
      <c r="B6" s="331"/>
      <c r="C6" s="329"/>
      <c r="D6" s="331"/>
      <c r="E6" s="330"/>
    </row>
    <row r="7" spans="1:5" ht="15.75">
      <c r="A7" s="145" t="s">
        <v>940</v>
      </c>
      <c r="B7" s="11"/>
      <c r="C7" s="119"/>
      <c r="D7" s="11"/>
      <c r="E7" s="12"/>
    </row>
    <row r="8" spans="1:5" ht="15.75">
      <c r="A8" s="146" t="s">
        <v>941</v>
      </c>
      <c r="B8" s="11">
        <f>+E11</f>
        <v>1721749966</v>
      </c>
      <c r="C8" s="119"/>
      <c r="D8" s="11">
        <v>1566627111</v>
      </c>
      <c r="E8" s="12"/>
    </row>
    <row r="9" spans="1:5" ht="15.75">
      <c r="A9" s="146" t="s">
        <v>942</v>
      </c>
      <c r="B9" s="11">
        <v>260000000</v>
      </c>
      <c r="C9" s="119"/>
      <c r="D9" s="11">
        <v>158500000</v>
      </c>
      <c r="E9" s="12"/>
    </row>
    <row r="10" spans="1:5" ht="15.75">
      <c r="A10" s="146" t="s">
        <v>943</v>
      </c>
      <c r="B10" s="11"/>
      <c r="C10" s="119"/>
      <c r="D10" s="11">
        <v>3377145</v>
      </c>
      <c r="E10" s="12"/>
    </row>
    <row r="11" spans="1:5" ht="15.75">
      <c r="A11" s="146" t="s">
        <v>944</v>
      </c>
      <c r="B11" s="147">
        <f>+B8+B9-B10</f>
        <v>1981749966</v>
      </c>
      <c r="C11" s="119">
        <f>+'BS GROUP'!F60+'BS GROUP'!F61+1</f>
        <v>1981749966.3500001</v>
      </c>
      <c r="D11" s="147">
        <f>+D8+D9-D10</f>
        <v>1721749966</v>
      </c>
      <c r="E11" s="12">
        <f>D11</f>
        <v>1721749966</v>
      </c>
    </row>
    <row r="12" spans="1:5" ht="15.75">
      <c r="A12" s="146"/>
      <c r="B12" s="11"/>
      <c r="C12" s="119"/>
      <c r="D12" s="11"/>
      <c r="E12" s="293"/>
    </row>
    <row r="13" spans="1:5" ht="15.75">
      <c r="A13" s="145" t="s">
        <v>945</v>
      </c>
      <c r="B13" s="11"/>
      <c r="C13" s="119"/>
      <c r="D13" s="11"/>
      <c r="E13" s="293"/>
    </row>
    <row r="14" spans="1:5" ht="15.75">
      <c r="A14" s="146" t="s">
        <v>941</v>
      </c>
      <c r="B14" s="11">
        <f>+E17</f>
        <v>80267958</v>
      </c>
      <c r="C14" s="119"/>
      <c r="D14" s="11">
        <v>62095017</v>
      </c>
      <c r="E14" s="293"/>
    </row>
    <row r="15" spans="1:5" ht="15.75">
      <c r="A15" s="146" t="s">
        <v>942</v>
      </c>
      <c r="B15" s="11">
        <v>5392472</v>
      </c>
      <c r="C15" s="119"/>
      <c r="D15" s="11">
        <v>20282031</v>
      </c>
      <c r="E15" s="293"/>
    </row>
    <row r="16" spans="1:5" ht="15.75">
      <c r="A16" s="146" t="s">
        <v>943</v>
      </c>
      <c r="B16" s="11">
        <f>12608349-770451</f>
        <v>11837898</v>
      </c>
      <c r="C16" s="119"/>
      <c r="D16" s="11">
        <v>2109090</v>
      </c>
      <c r="E16" s="293"/>
    </row>
    <row r="17" spans="1:5" ht="15.75">
      <c r="A17" s="146" t="s">
        <v>944</v>
      </c>
      <c r="B17" s="147">
        <f>+B14+B15-B16</f>
        <v>73822532</v>
      </c>
      <c r="C17" s="119">
        <f>+'BS GROUP'!F82</f>
        <v>73822532.45</v>
      </c>
      <c r="D17" s="147">
        <f>+D14+D15-D16</f>
        <v>80267958</v>
      </c>
      <c r="E17" s="293">
        <f>D17</f>
        <v>80267958</v>
      </c>
    </row>
    <row r="18" spans="1:5" ht="15.75">
      <c r="A18" s="145"/>
      <c r="B18" s="11"/>
      <c r="C18" s="119"/>
      <c r="D18" s="50"/>
      <c r="E18" s="293"/>
    </row>
    <row r="19" spans="1:5" ht="15.75">
      <c r="A19" s="145" t="s">
        <v>946</v>
      </c>
      <c r="B19" s="147">
        <f>+'BS GROUP'!F57</f>
        <v>2760985.3</v>
      </c>
      <c r="C19" s="119">
        <f>B19</f>
        <v>2760985.3</v>
      </c>
      <c r="D19" s="147">
        <v>2572780</v>
      </c>
      <c r="E19" s="293">
        <f>D19</f>
        <v>2572780</v>
      </c>
    </row>
    <row r="20" spans="1:5" ht="15.75">
      <c r="A20" s="145"/>
      <c r="B20" s="11"/>
      <c r="C20" s="119"/>
      <c r="D20" s="11"/>
      <c r="E20" s="293"/>
    </row>
    <row r="21" spans="1:5" ht="15.75">
      <c r="A21" s="148" t="s">
        <v>947</v>
      </c>
      <c r="B21" s="149"/>
      <c r="C21" s="147">
        <f>SUM(C8:C19)-1</f>
        <v>2058333483.1000001</v>
      </c>
      <c r="D21" s="85"/>
      <c r="E21" s="294">
        <f>SUM(E8:E19)</f>
        <v>1804590704</v>
      </c>
    </row>
    <row r="22" spans="1:5" ht="16.5" thickBot="1">
      <c r="A22" s="150"/>
      <c r="B22" s="16"/>
      <c r="C22" s="151"/>
      <c r="D22" s="95"/>
      <c r="E22" s="295"/>
    </row>
    <row r="23" spans="3:5" ht="15.75">
      <c r="C23" s="152"/>
      <c r="E23" s="287"/>
    </row>
    <row r="24" spans="1:5" ht="15.75">
      <c r="A24" s="115" t="s">
        <v>951</v>
      </c>
      <c r="C24" s="82"/>
      <c r="E24" s="287"/>
    </row>
    <row r="25" spans="1:5" ht="33" customHeight="1">
      <c r="A25" s="323" t="s">
        <v>295</v>
      </c>
      <c r="B25" s="323"/>
      <c r="C25" s="323"/>
      <c r="D25" s="323"/>
      <c r="E25" s="324"/>
    </row>
    <row r="26" spans="1:5" ht="31.5" customHeight="1">
      <c r="A26" s="323" t="s">
        <v>146</v>
      </c>
      <c r="B26" s="323"/>
      <c r="C26" s="323"/>
      <c r="D26" s="323"/>
      <c r="E26" s="324"/>
    </row>
    <row r="27" spans="1:5" ht="33" customHeight="1">
      <c r="A27" s="323" t="s">
        <v>632</v>
      </c>
      <c r="B27" s="323"/>
      <c r="C27" s="323"/>
      <c r="D27" s="323"/>
      <c r="E27" s="323"/>
    </row>
    <row r="38" ht="15.75" hidden="1"/>
  </sheetData>
  <mergeCells count="6">
    <mergeCell ref="A2:E2"/>
    <mergeCell ref="A25:E25"/>
    <mergeCell ref="A26:E26"/>
    <mergeCell ref="A27:E27"/>
    <mergeCell ref="B5:C5"/>
    <mergeCell ref="D5:E5"/>
  </mergeCells>
  <printOptions horizontalCentered="1"/>
  <pageMargins left="0.75" right="0.75" top="1" bottom="1" header="0.5" footer="0.5"/>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tmh</dc:creator>
  <cp:keywords/>
  <dc:description/>
  <cp:lastModifiedBy>tmh</cp:lastModifiedBy>
  <cp:lastPrinted>2005-08-26T11:11:46Z</cp:lastPrinted>
  <dcterms:created xsi:type="dcterms:W3CDTF">2005-08-07T16:53:40Z</dcterms:created>
  <dcterms:modified xsi:type="dcterms:W3CDTF">2005-09-06T23:12:55Z</dcterms:modified>
  <cp:category/>
  <cp:version/>
  <cp:contentType/>
  <cp:contentStatus/>
</cp:coreProperties>
</file>